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0"/>
  </bookViews>
  <sheets>
    <sheet name="CRONOGRAMA" sheetId="8" r:id="rId1"/>
    <sheet name="Planilha1" sheetId="1" r:id="rId2"/>
    <sheet name="MEMÓRIA" sheetId="3" r:id="rId3"/>
  </sheets>
  <externalReferences>
    <externalReference r:id="rId6"/>
    <externalReference r:id="rId7"/>
  </externalReferences>
  <definedNames>
    <definedName name="_xlnm.Print_Area" localSheetId="0">'CRONOGRAMA'!$A$1:$P$29</definedName>
    <definedName name="_xlnm.Print_Area" localSheetId="2">'MEMÓRIA'!$A$1:$E$79</definedName>
    <definedName name="_xlnm.Print_Area" localSheetId="1">'Planilha1'!$A$1:$I$98</definedName>
    <definedName name="brasao">INDEX('[1]INFO'!$B$47:$D$76,'[1]INFO'!$F$47,3)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<sst xmlns="http://schemas.openxmlformats.org/spreadsheetml/2006/main" count="678" uniqueCount="311">
  <si>
    <t>DATA BASE:</t>
  </si>
  <si>
    <t>BDI 1: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</si>
  <si>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</si>
  <si>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</si>
  <si>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</si>
  <si>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</si>
  <si>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</si>
  <si>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</si>
  <si>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</si>
  <si>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</si>
  <si>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</si>
  <si>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m²</t>
  </si>
  <si>
    <t>M</t>
  </si>
  <si>
    <t>DEMOLIÇÕES E RETIRADAS</t>
  </si>
  <si>
    <t>Demolição manual de revestimento cerâmico, incluindo a base</t>
  </si>
  <si>
    <t>Demolição manual de alvenaria de elevação ou elemento vazado, incluindo revestimento</t>
  </si>
  <si>
    <t>UNID.</t>
  </si>
  <si>
    <t>QUANT.</t>
  </si>
  <si>
    <t>Retirada de folha de esquadria em madeira</t>
  </si>
  <si>
    <t>04.08.020</t>
  </si>
  <si>
    <t>unid.</t>
  </si>
  <si>
    <t>m2</t>
  </si>
  <si>
    <t>KG</t>
  </si>
  <si>
    <t>2.1</t>
  </si>
  <si>
    <t>2.2</t>
  </si>
  <si>
    <t>2.3</t>
  </si>
  <si>
    <t>2.4</t>
  </si>
  <si>
    <t>2.5</t>
  </si>
  <si>
    <t>2.6</t>
  </si>
  <si>
    <t>2.7</t>
  </si>
  <si>
    <t>Retirada de batente com guarnição e peças lineares em madeira, chumbados</t>
  </si>
  <si>
    <t>04.08.060</t>
  </si>
  <si>
    <t>M2</t>
  </si>
  <si>
    <t>03.02.040</t>
  </si>
  <si>
    <t>m3</t>
  </si>
  <si>
    <t>M3</t>
  </si>
  <si>
    <t>3.</t>
  </si>
  <si>
    <t>3.1</t>
  </si>
  <si>
    <t>PISOS</t>
  </si>
  <si>
    <t>Revestimento em porcelanato esmaltado acetinado para área interna e ambiente com acesso ao exterior, grupo de absorção BIa, resistência química B, assentado com argamassa colante industrializada, rejuntado</t>
  </si>
  <si>
    <t>18.08.090</t>
  </si>
  <si>
    <t>m</t>
  </si>
  <si>
    <t>PAREDE</t>
  </si>
  <si>
    <t>3.2</t>
  </si>
  <si>
    <t>Emboço comum</t>
  </si>
  <si>
    <t>17.02.120</t>
  </si>
  <si>
    <t>Chapisco</t>
  </si>
  <si>
    <t>Reboco</t>
  </si>
  <si>
    <t>17.02.020</t>
  </si>
  <si>
    <t>17.02.220</t>
  </si>
  <si>
    <t>ALVENARIA E DIVISÓRIAS</t>
  </si>
  <si>
    <t>4.</t>
  </si>
  <si>
    <t>4.1</t>
  </si>
  <si>
    <t>4.2</t>
  </si>
  <si>
    <t>Alvenaria de bloco cerâmico de vedação, uso revestido, de 14 cm</t>
  </si>
  <si>
    <t>14.04.210</t>
  </si>
  <si>
    <t>5.</t>
  </si>
  <si>
    <t>ESQUADRIAS</t>
  </si>
  <si>
    <t>5.1</t>
  </si>
  <si>
    <t>5.2</t>
  </si>
  <si>
    <t>6.</t>
  </si>
  <si>
    <t>6.1</t>
  </si>
  <si>
    <t>Bacia sifonada de louça sem tampa ‐ 6 litros</t>
  </si>
  <si>
    <t>44.01.050</t>
  </si>
  <si>
    <t>Lavatório de louça com coluna</t>
  </si>
  <si>
    <t>44.01.110</t>
  </si>
  <si>
    <t>6.2</t>
  </si>
  <si>
    <t>Torneira para bancada automática, acionamento hidromecânico, em latão cromado, DN= 1/2´ou 3/4´</t>
  </si>
  <si>
    <t>44.03.645</t>
  </si>
  <si>
    <t>Válvula de descarga antivandalismo, DN= 1 1/2´</t>
  </si>
  <si>
    <t>47.04.050</t>
  </si>
  <si>
    <t>6.4</t>
  </si>
  <si>
    <t>7.</t>
  </si>
  <si>
    <t>Vidro liso transparente de 4 mm</t>
  </si>
  <si>
    <t>26.01.040</t>
  </si>
  <si>
    <t>7.1</t>
  </si>
  <si>
    <t>8.</t>
  </si>
  <si>
    <t>INSTALAÇÕES ELÉTRICAS</t>
  </si>
  <si>
    <t>Interruptor com 1 tecla simples e placa</t>
  </si>
  <si>
    <t xml:space="preserve"> 40.05.020 </t>
  </si>
  <si>
    <t>8.1</t>
  </si>
  <si>
    <t>8.2</t>
  </si>
  <si>
    <t>8.3</t>
  </si>
  <si>
    <t>8.4</t>
  </si>
  <si>
    <t>CJ</t>
  </si>
  <si>
    <t>9.</t>
  </si>
  <si>
    <t>COBERTURA</t>
  </si>
  <si>
    <t>9.1</t>
  </si>
  <si>
    <t>9.2</t>
  </si>
  <si>
    <t>9.3</t>
  </si>
  <si>
    <t>SINAPI ABRIL/2022 NÃO DESONERADO</t>
  </si>
  <si>
    <t>REFERÊNCIA:</t>
  </si>
  <si>
    <t>19.01.062</t>
  </si>
  <si>
    <t>Peitoril e/ou soleira em granito, espessura de 2 cm e largura até 20 cm, acabamento polido</t>
  </si>
  <si>
    <t>10.</t>
  </si>
  <si>
    <t>10.1</t>
  </si>
  <si>
    <t>10.2</t>
  </si>
  <si>
    <t>10.3</t>
  </si>
  <si>
    <t>10.4</t>
  </si>
  <si>
    <t>Escavação manual em solo de 1ª e 2ª categoria em vala ou cava até 1,5 m</t>
  </si>
  <si>
    <t>Concreto usinado, fck = 25,0 Mpa</t>
  </si>
  <si>
    <t>Lançamento e adensamento de concreto ou massa em fundação</t>
  </si>
  <si>
    <t>Forma em madeira comum para fundação</t>
  </si>
  <si>
    <t>Armadura em barra de aço CA-50 (A ou B) fyk= 500 Mpa</t>
  </si>
  <si>
    <t>06.02.020</t>
  </si>
  <si>
    <t>11.01.130</t>
  </si>
  <si>
    <t>11.16.040</t>
  </si>
  <si>
    <t>09.01.020</t>
  </si>
  <si>
    <t>10.01.040</t>
  </si>
  <si>
    <t>Vergas, contravergas e pilaretes de concreto armado</t>
  </si>
  <si>
    <t>14.20.010</t>
  </si>
  <si>
    <t>Forro em lâmina de PVC</t>
  </si>
  <si>
    <t>22.03.070</t>
  </si>
  <si>
    <t>16.33.022</t>
  </si>
  <si>
    <t>UNID</t>
  </si>
  <si>
    <t>PINTURA</t>
  </si>
  <si>
    <t>33.10.020</t>
  </si>
  <si>
    <t>Esmalte à base de água em madeira, inclusive preparo</t>
  </si>
  <si>
    <t>33.12.011</t>
  </si>
  <si>
    <t>11.</t>
  </si>
  <si>
    <t>Tubo de PVC rígido branco PxB com virola e anel de borracha, linha esgoto série normal, DN= 100 mm, inclusive conexões</t>
  </si>
  <si>
    <t>46.02.070</t>
  </si>
  <si>
    <t>11.1</t>
  </si>
  <si>
    <t>11.2</t>
  </si>
  <si>
    <t>11.3</t>
  </si>
  <si>
    <t>11.4</t>
  </si>
  <si>
    <t>Registro de gaveta em latão fundido sem acabamento, DN= 3/4´</t>
  </si>
  <si>
    <t>47.01.020</t>
  </si>
  <si>
    <t>Caixa sifonada de PVC rígido de 100 x 100 x 50 mm, com grelha</t>
  </si>
  <si>
    <t>49.01.016</t>
  </si>
  <si>
    <t>39.02.010</t>
  </si>
  <si>
    <t>ALVARO FLORIAM GEBRAIEL BELLAZ</t>
  </si>
  <si>
    <t>CREA: 507.011.280-5</t>
  </si>
  <si>
    <t>SECRETÁRIO DE OBRAS E PLANEJAMENTO</t>
  </si>
  <si>
    <t>2.</t>
  </si>
  <si>
    <t>Piso com requadro em concreto simples sem controle de fck</t>
  </si>
  <si>
    <t>17.05.020</t>
  </si>
  <si>
    <t>Porta lisa de correr suspensa em madeira com batente</t>
  </si>
  <si>
    <t>23.08.242</t>
  </si>
  <si>
    <t>Bacia sifonada de louça para pessoas com mobilidade reduzida ‐ capacidade de 6 litros</t>
  </si>
  <si>
    <t>30.08.060</t>
  </si>
  <si>
    <t>Lavatório de louça para canto sem coluna para pessoas com mobilidade reduzida</t>
  </si>
  <si>
    <t>30.08.040</t>
  </si>
  <si>
    <t>7.2</t>
  </si>
  <si>
    <t>7.3</t>
  </si>
  <si>
    <t>7.4</t>
  </si>
  <si>
    <t>7.5</t>
  </si>
  <si>
    <t>7.6</t>
  </si>
  <si>
    <t>INSTALAÇÕES HIDRÁULICAS, LOUÇAS E METAIS</t>
  </si>
  <si>
    <t>unid</t>
  </si>
  <si>
    <t>9.4</t>
  </si>
  <si>
    <t>11.5</t>
  </si>
  <si>
    <t>2.8</t>
  </si>
  <si>
    <t>REFERÊNCIA</t>
  </si>
  <si>
    <t>3.3</t>
  </si>
  <si>
    <t>7.8</t>
  </si>
  <si>
    <t>7.9</t>
  </si>
  <si>
    <t>7.10</t>
  </si>
  <si>
    <t>7.11</t>
  </si>
  <si>
    <t>8.5</t>
  </si>
  <si>
    <t>37.03.200</t>
  </si>
  <si>
    <t>PLANILHA ORÇAMENTÁRIA</t>
  </si>
  <si>
    <t>Retirada de entelamento metálico em geral</t>
  </si>
  <si>
    <t>04.09.160</t>
  </si>
  <si>
    <t>Lastro de concreto impermeabilizado</t>
  </si>
  <si>
    <t>17.01.040</t>
  </si>
  <si>
    <t>05.07.050</t>
  </si>
  <si>
    <t>Remoção de entulho de obra com caçamba metálica ‐ material volumoso e misturado por alvenaria, terra, madeira, papel, plástico e metal</t>
  </si>
  <si>
    <t>4.3</t>
  </si>
  <si>
    <t>REVESTIMENTOS DE PAREDE</t>
  </si>
  <si>
    <t>REVESTIMENTOS DE PISO</t>
  </si>
  <si>
    <t>1.</t>
  </si>
  <si>
    <t>1.1</t>
  </si>
  <si>
    <t>1.2</t>
  </si>
  <si>
    <t>1.3</t>
  </si>
  <si>
    <t>1.4</t>
  </si>
  <si>
    <t>1.5</t>
  </si>
  <si>
    <t>1.6</t>
  </si>
  <si>
    <t>1.7</t>
  </si>
  <si>
    <t>4.4</t>
  </si>
  <si>
    <t>4.5</t>
  </si>
  <si>
    <t>5.3</t>
  </si>
  <si>
    <t>5.4</t>
  </si>
  <si>
    <t>SERVIÇOS COMPLEMENTARES</t>
  </si>
  <si>
    <t>Lâmpada LED tubular T8, base G13 ‐ 18 a 20W, 1850 até 2000 lm, cor 4000 a 6500K, vida útil mín. 25.000 horas; ref. Essential LEDtube 1200mm 18W 840/865 Philips, Tubo LED T8 ‐  20W/4000/5000/6500 1200mm da Osram ou equivalente</t>
  </si>
  <si>
    <t>P.14.000.046623</t>
  </si>
  <si>
    <t>CDHU INSUMOS</t>
  </si>
  <si>
    <t>8.6</t>
  </si>
  <si>
    <t>Esmalte à base de água em massa, inclusive preparo</t>
  </si>
  <si>
    <t>33.10.041</t>
  </si>
  <si>
    <t>AMPLIAÇÃO</t>
  </si>
  <si>
    <t xml:space="preserve">SERVIÇOS COMPLEMENTARES </t>
  </si>
  <si>
    <t>7.7</t>
  </si>
  <si>
    <t>39.02.030</t>
  </si>
  <si>
    <t>1º MÊS</t>
  </si>
  <si>
    <t>2º MÊS</t>
  </si>
  <si>
    <t>3º MÊS</t>
  </si>
  <si>
    <t>4º MÊS</t>
  </si>
  <si>
    <t>TOTAL GERAL</t>
  </si>
  <si>
    <t>1ª MEDIÇÃO</t>
  </si>
  <si>
    <t>VALOR</t>
  </si>
  <si>
    <t>SALDO</t>
  </si>
  <si>
    <t>2ª MEDIÇÃO</t>
  </si>
  <si>
    <t>3ª MEDIÇÃO</t>
  </si>
  <si>
    <t>REFORMA QUADRA SANTA MARIA</t>
  </si>
  <si>
    <t>Demolição manual de concreto armado</t>
  </si>
  <si>
    <t>03.01.040</t>
  </si>
  <si>
    <t>25,45 M * 4,00 H + 52,95 M * 4,00 H</t>
  </si>
  <si>
    <t>demolição pilares basquete 0,40*0,40*4,00*2</t>
  </si>
  <si>
    <t>4 portas sanitários</t>
  </si>
  <si>
    <t>4 portas sanitários(0,90+2,10+2,10)*4</t>
  </si>
  <si>
    <t>concreto * 80</t>
  </si>
  <si>
    <t>Divisória em placas de granito com espessura de 3 cm</t>
  </si>
  <si>
    <t>14.30.010</t>
  </si>
  <si>
    <t>03.04.020</t>
  </si>
  <si>
    <t>demolição piso wc PNE</t>
  </si>
  <si>
    <t>demolição mureta alambrado onde será muro 23,00*0,20*0,15 + demolição vão passagem quadra para wc 0,90*2,10*0,15 + demolição vãos portas wcs 0,90*2,10*0,15*3 + demolição alvenaria wc PNE 1,50*3,00*0,15 + demolição vão porta wc 0,70*2,10*0,15</t>
  </si>
  <si>
    <t>tela 313,60*0,02 + concreto 1,28 m3 + alvenaria 2,72 + portas 0,90*2,10*0,04 + batentes 20,40*0,15*0,04+ piso wc 2,25*0,05</t>
  </si>
  <si>
    <t>INFRAESTRUTURA E SUPERESTRUTURA MURO E AMPLIAÇÃO</t>
  </si>
  <si>
    <t>muro 12 brocas (1 a cada 2 metros) * 3,00 m profundidade + ampliação 6 brocas * 3,00 m</t>
  </si>
  <si>
    <t>ALVENARIA DE VEDAÇÃO DE BLOCOS VAZADOS DE CONCRETO APARENTE DE 14X19X39 CM (ESPESSURA 14 CM) E ARGAMASSA DE ASSENTAMENTO COM PREPARO EM BETONEIRA. AF_12/2021</t>
  </si>
  <si>
    <t>SINAPI</t>
  </si>
  <si>
    <t>Elemento vazado em concreto, tipo quadriculado de 39 x 39 x 10 cm</t>
  </si>
  <si>
    <t>14.28.030</t>
  </si>
  <si>
    <t>muro 25,50 M * 0,20 * 0,30 + ampliação 8,45 * 0,20 * 0,30</t>
  </si>
  <si>
    <t>25,50 *0,30 * 2 LADOS + 8,45 * 0,30 * 2</t>
  </si>
  <si>
    <t>muro: 12 pilares 0,20*0,15 + verga intermediária 25,50*0,15*0,20 + viga respalto 25,50 * 0,15 * 0,20 / ampliação: 6 pilares 0,20*0,15 + verga intermediária 8,45*0,15*0,20 + viga respalto 8,45 * 0,15 * 0,20</t>
  </si>
  <si>
    <t>fechamento quadra elemento vazado 4,85 * 12 vãos * 1,50 altura</t>
  </si>
  <si>
    <t>contrapiso ampliação wc pne 3,30 * 0,07</t>
  </si>
  <si>
    <t>portas abertas wcs e áreas chuveiros (total 6 unidades: 2 de 0,90 / 1 de 0,80 / 1 de 0,70 / 2 de 1,70)</t>
  </si>
  <si>
    <t>3.4</t>
  </si>
  <si>
    <t>WC PNE</t>
  </si>
  <si>
    <t>Revestimento em placa cerâmica esmaltada, tipo monoporosa,
assentado e rejuntado com argamassa industrializada</t>
  </si>
  <si>
    <t>18.11.052</t>
  </si>
  <si>
    <t>wc masc 17,60 m + wc fem 14,10 m + wc PNE 7,40 m * 2,00 h</t>
  </si>
  <si>
    <t>fechamento quadra: laterais 4,85*12*1,30 h / frente 10,70*2*2,80 h / fundo (vestiários) 6,20*2*2,80 h + 9,45 * 1,25 h / muro 25,20 * 2,20 h / fechamento vãos portas 0,90 * 2,10 * 4 unidades</t>
  </si>
  <si>
    <t xml:space="preserve"> ampliação: 8,45 * 3,00</t>
  </si>
  <si>
    <t>wc masc.</t>
  </si>
  <si>
    <t>Porta lisa com batente madeira ‐ 60 x 210 cm</t>
  </si>
  <si>
    <t>23.09.020</t>
  </si>
  <si>
    <t>1,50 + 0,80 + 0,80 + 0,85 + 0,85 * 1,80 h sanitários</t>
  </si>
  <si>
    <t>wc masc. E fem.</t>
  </si>
  <si>
    <t>Estrutura de madeira tesourada para telha perfil ondulado ‐ vãos até
7,00 m</t>
  </si>
  <si>
    <t>15.01.110</t>
  </si>
  <si>
    <t>Telhamento em cimento reforçado com fio sintético CRFS ‐ perfil ondulado de 6 mm</t>
  </si>
  <si>
    <t>16.03.010</t>
  </si>
  <si>
    <t>Calha, rufo, afins em chapa galvanizada nº 24 ‐ corte 0,33 m</t>
  </si>
  <si>
    <t xml:space="preserve"> RUFO AMPLIAÇÃO</t>
  </si>
  <si>
    <t>calçada externa área ampliação 33,40 m2 * 0,07</t>
  </si>
  <si>
    <t>wc fem. E wc masc.</t>
  </si>
  <si>
    <t>wc fem / wc masc / wc pne</t>
  </si>
  <si>
    <t>Chuveiro elétrico de 6.500W / 220V com resistência blindada</t>
  </si>
  <si>
    <t>Luminária retangular de sobrepor tipo calha fechada, com difusor
translúcido, para 2 lâmpadas fluorescentes de 28 W/32 W/36 W/54 W</t>
  </si>
  <si>
    <t>41.14.090</t>
  </si>
  <si>
    <t>Cabo de cobre de 4 mm², isolamento 750 V ‐ isolação em PVC 70°C</t>
  </si>
  <si>
    <t>39.02.020</t>
  </si>
  <si>
    <t>Cabo de cobre de 1,5 mm², isolamento 750 V ‐ isolação em PVC 70°C</t>
  </si>
  <si>
    <t>Tomada 2P+T de 20 A ‐ 250 V, completa</t>
  </si>
  <si>
    <t>40.04.460</t>
  </si>
  <si>
    <t>chuveiros</t>
  </si>
  <si>
    <t>alvenaria vestiário para quadra 11,60 m2 + interno vãos portas 0,90*2,10*4 = 7,56 m² + alvenarias ampliação 11,50 * 3,00 = 34,50 m²</t>
  </si>
  <si>
    <t>alvenaria vestiário para quadra 11,60 m2 + interno vãos portas 0,90*2,10*1 = 1,89 m² + alvenarias ampliação 4,25*1,00 = 4,25 m²</t>
  </si>
  <si>
    <t>Tela em aço galvanizado fio 16 BWG, malha de 1´ ‐ tipo alambrado</t>
  </si>
  <si>
    <t>24.20.270</t>
  </si>
  <si>
    <t>25 M * 4,00 ALTURA</t>
  </si>
  <si>
    <t>7 M * 4 UNIDADES (CONDUTORES CALHA QUADRA)</t>
  </si>
  <si>
    <t>Revestimento em borracha sintética preta, espessura de 4 mm ‐
colado</t>
  </si>
  <si>
    <t>21.01.100</t>
  </si>
  <si>
    <t>REVESTIMENTO PILARES ATÉ ALTURA 1,50 M - 0,65 * 1,50 H * 5 PILARES * 5 CAMADAS (EVA)</t>
  </si>
  <si>
    <t>INTERNA 39,10 M * 1,00 H / EXTERNA 28,40 * 3,50 H</t>
  </si>
  <si>
    <t>Tinta látex em massa, inclusive preparo (VESTIÁRIOS)</t>
  </si>
  <si>
    <t>portas vestiários</t>
  </si>
  <si>
    <t>Esmalte à base de água em massa, inclusive preparo (ALAMBRADO)</t>
  </si>
  <si>
    <t>Esmalte à base de água em massa, inclusive preparo (ESQUADRIAS)</t>
  </si>
  <si>
    <t>12 postes alambrado * 4 m altura</t>
  </si>
  <si>
    <t>esquadrias metálicas existentes</t>
  </si>
  <si>
    <t>Tietê, 01 de junho de 2023.</t>
  </si>
  <si>
    <t>CDHU VERSÃO 189 NÃO DESONERADO</t>
  </si>
  <si>
    <t>Barra de apoio reta, para pessoas com mobilidade reduzida, em tubo de aço inoxidável de 1 1/2´ x 800 mm</t>
  </si>
  <si>
    <t>30.01.030</t>
  </si>
  <si>
    <t>43.02.080</t>
  </si>
  <si>
    <t>Registro de pressão em latão fundido sem acabamento, DN= 3/4´</t>
  </si>
  <si>
    <t>47.01.130</t>
  </si>
  <si>
    <t>Quadro de distribuição universal de embutir, para disjuntores 16 DIN /12 Bolt‐on ‐ 150 A ‐ sem componentes</t>
  </si>
  <si>
    <t>Disjuntor termomagnético, bipolar 220/380 V, corrente de 10 A até 50A</t>
  </si>
  <si>
    <t>Cabo de cobre de 6 mm², isolamento 750 V ‐ isolação em PVC 70°C</t>
  </si>
  <si>
    <t>Eletroduto de PVC corrugado flexível leve, diâmetro externo de 32mm</t>
  </si>
  <si>
    <t>38.19.040</t>
  </si>
  <si>
    <t>ampliação</t>
  </si>
  <si>
    <t>37.13.630</t>
  </si>
  <si>
    <t>8.7</t>
  </si>
  <si>
    <t>8.8</t>
  </si>
  <si>
    <t>8.9</t>
  </si>
  <si>
    <t>8.10</t>
  </si>
  <si>
    <t>Alçapão/tampa em chapa de ferro com porta cadeado</t>
  </si>
  <si>
    <t>24.03.100</t>
  </si>
  <si>
    <t>Porta/portão de abrir em chapa, sob medida</t>
  </si>
  <si>
    <t>24.02.060</t>
  </si>
  <si>
    <t>wc pne, wc fem e wc masc.</t>
  </si>
  <si>
    <t xml:space="preserve">ESQUADRIAS 1,40 * 0,60 * 4 * 2 + portas </t>
  </si>
  <si>
    <t>Vergas, contravergas e pilaretes de concreto armado (muro e ampliação)</t>
  </si>
  <si>
    <t>Vergas, contravergas e pilaretes de concreto armado (fechamento quadra)</t>
  </si>
  <si>
    <t xml:space="preserve">pilaretes: laterais 12 unidades*1,80 h*0,20*0,15 / frente: 10 unid*1,80h*0,20*0,15 / fundo: 4unid.*1,80h*0,20*0,15 + 2 unid 1,25h*0,20*0,15 // verga (canaleta): laterais 52,80 m * 2 canaletas * 0,20*0,15 / frente: 21,40 m*2 canaletas*0,20*0,15 / fundo: 21,40 m * 1 canaleta * 0,20 * 0,15 </t>
  </si>
  <si>
    <t>Remoção de entulho de obra com caçamba metálica ‐ material
volumoso e misturado por alvenaria, terra, madeira, papel, plástico e metal</t>
  </si>
  <si>
    <t>Cimentado desempenado</t>
  </si>
  <si>
    <t>17.03.020</t>
  </si>
  <si>
    <t>regularização de piso para escoamento de água frente quadra onde será retirado o alambrado</t>
  </si>
  <si>
    <t>8.11</t>
  </si>
  <si>
    <t>substituição de poste padrão existente bifásico por padrão trifásico</t>
  </si>
  <si>
    <t>CRONOGRAMA FÍSICO-FINANCEIRO</t>
  </si>
  <si>
    <t>ENTRADA DE ENERGIA ELÉTRICA, AÉREA, TRIFÁSICA, COM CAIXA DE SOBREPOR CABO DE 16 MM2 E DISJUNTOR DIN 50A (NÃO INCLUSO O POSTE DE CONCRETO). AF_07/2020_PS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</si>
</sst>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77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CCCCCC"/>
      </left>
      <right style="thin">
        <color rgb="FFCCCCCC"/>
      </right>
      <top style="thin"/>
      <bottom style="thin">
        <color rgb="FFCCCCCC"/>
      </bottom>
    </border>
    <border>
      <left style="thin"/>
      <right style="thin">
        <color rgb="FFCCCCCC"/>
      </right>
      <top style="thin"/>
      <bottom style="thin"/>
    </border>
    <border>
      <left style="thin">
        <color rgb="FFCCCCCC"/>
      </left>
      <right style="thin">
        <color rgb="FFCCCCCC"/>
      </right>
      <top style="thin"/>
      <bottom style="thin"/>
    </border>
    <border>
      <left style="thin">
        <color rgb="FFCCCCCC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9">
    <xf numFmtId="0" fontId="0" fillId="0" borderId="0" xfId="0"/>
    <xf numFmtId="0" fontId="7" fillId="2" borderId="1" xfId="0" applyFont="1" applyFill="1" applyBorder="1" applyAlignment="1" applyProtection="1">
      <alignment horizontal="left" vertical="top" wrapText="1"/>
      <protection locked="0"/>
    </xf>
    <xf numFmtId="2" fontId="7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Border="1"/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1" xfId="20" applyFont="1" applyFill="1" applyBorder="1" applyAlignment="1" applyProtection="1">
      <alignment horizontal="left" vertical="center" wrapText="1"/>
      <protection locked="0"/>
    </xf>
    <xf numFmtId="44" fontId="0" fillId="0" borderId="1" xfId="0" applyNumberFormat="1" applyBorder="1" applyAlignment="1">
      <alignment vertical="center"/>
    </xf>
    <xf numFmtId="44" fontId="10" fillId="2" borderId="1" xfId="20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1" fillId="3" borderId="3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/>
    <xf numFmtId="0" fontId="12" fillId="3" borderId="5" xfId="0" applyFont="1" applyFill="1" applyBorder="1"/>
    <xf numFmtId="0" fontId="10" fillId="2" borderId="1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2" xfId="20" applyFont="1" applyFill="1" applyBorder="1" applyAlignment="1" applyProtection="1">
      <alignment horizontal="left" vertical="center" wrapText="1"/>
      <protection locked="0"/>
    </xf>
    <xf numFmtId="44" fontId="0" fillId="0" borderId="2" xfId="0" applyNumberFormat="1" applyBorder="1" applyAlignment="1">
      <alignment vertical="center"/>
    </xf>
    <xf numFmtId="44" fontId="10" fillId="2" borderId="2" xfId="20" applyFont="1" applyFill="1" applyBorder="1" applyAlignment="1" applyProtection="1">
      <alignment horizontal="right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44" fontId="10" fillId="2" borderId="1" xfId="2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44" fontId="10" fillId="2" borderId="1" xfId="2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 wrapText="1"/>
    </xf>
    <xf numFmtId="44" fontId="10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44" fontId="10" fillId="2" borderId="2" xfId="2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4" fontId="0" fillId="0" borderId="1" xfId="0" applyNumberFormat="1" applyFont="1" applyBorder="1" applyAlignment="1">
      <alignment vertical="center"/>
    </xf>
    <xf numFmtId="0" fontId="12" fillId="4" borderId="4" xfId="0" applyFont="1" applyFill="1" applyBorder="1"/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0" xfId="0" applyNumberFormat="1"/>
    <xf numFmtId="2" fontId="0" fillId="3" borderId="1" xfId="0" applyNumberForma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0" borderId="1" xfId="0" applyNumberFormat="1" applyFill="1" applyBorder="1" applyAlignment="1">
      <alignment vertical="center"/>
    </xf>
    <xf numFmtId="2" fontId="12" fillId="3" borderId="1" xfId="0" applyNumberFormat="1" applyFont="1" applyFill="1" applyBorder="1"/>
    <xf numFmtId="2" fontId="0" fillId="4" borderId="1" xfId="0" applyNumberFormat="1" applyFill="1" applyBorder="1"/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2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8" xfId="20" applyFont="1" applyFill="1" applyBorder="1" applyAlignment="1" applyProtection="1">
      <alignment horizontal="left" vertical="center" wrapText="1"/>
      <protection locked="0"/>
    </xf>
    <xf numFmtId="44" fontId="11" fillId="3" borderId="9" xfId="20" applyFont="1" applyFill="1" applyBorder="1" applyAlignment="1" applyProtection="1">
      <alignment horizontal="righ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2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5" xfId="20" applyFont="1" applyFill="1" applyBorder="1" applyAlignment="1" applyProtection="1">
      <alignment horizontal="left" vertical="center" wrapText="1"/>
      <protection locked="0"/>
    </xf>
    <xf numFmtId="44" fontId="12" fillId="3" borderId="5" xfId="0" applyNumberFormat="1" applyFont="1" applyFill="1" applyBorder="1" applyAlignment="1">
      <alignment vertical="center"/>
    </xf>
    <xf numFmtId="44" fontId="11" fillId="3" borderId="11" xfId="20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2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4" xfId="20" applyFont="1" applyFill="1" applyBorder="1" applyAlignment="1" applyProtection="1">
      <alignment horizontal="left" vertical="center" wrapText="1"/>
      <protection locked="0"/>
    </xf>
    <xf numFmtId="44" fontId="12" fillId="3" borderId="4" xfId="0" applyNumberFormat="1" applyFont="1" applyFill="1" applyBorder="1" applyAlignment="1">
      <alignment vertical="center"/>
    </xf>
    <xf numFmtId="44" fontId="11" fillId="3" borderId="12" xfId="20" applyFont="1" applyFill="1" applyBorder="1" applyAlignment="1" applyProtection="1">
      <alignment horizontal="right" vertical="center" wrapText="1"/>
      <protection locked="0"/>
    </xf>
    <xf numFmtId="164" fontId="11" fillId="3" borderId="12" xfId="20" applyNumberFormat="1" applyFont="1" applyFill="1" applyBorder="1" applyAlignment="1" applyProtection="1">
      <alignment horizontal="righ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2" borderId="0" xfId="0" applyFont="1" applyFill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center" vertical="center"/>
      <protection/>
    </xf>
    <xf numFmtId="10" fontId="7" fillId="2" borderId="0" xfId="0" applyNumberFormat="1" applyFont="1" applyFill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2" fillId="5" borderId="4" xfId="0" applyFont="1" applyFill="1" applyBorder="1" applyAlignment="1">
      <alignment vertical="center"/>
    </xf>
    <xf numFmtId="0" fontId="0" fillId="5" borderId="4" xfId="0" applyFill="1" applyBorder="1" applyAlignment="1">
      <alignment horizontal="center"/>
    </xf>
    <xf numFmtId="2" fontId="0" fillId="5" borderId="4" xfId="0" applyNumberFormat="1" applyFill="1" applyBorder="1"/>
    <xf numFmtId="0" fontId="7" fillId="5" borderId="12" xfId="0" applyFont="1" applyFill="1" applyBorder="1" applyAlignment="1" applyProtection="1">
      <alignment horizontal="left" vertical="top" wrapText="1"/>
      <protection locked="0"/>
    </xf>
    <xf numFmtId="0" fontId="11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>
      <alignment vertical="center"/>
    </xf>
    <xf numFmtId="0" fontId="2" fillId="2" borderId="0" xfId="0" applyFont="1" applyFill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horizontal="right" vertical="center"/>
      <protection/>
    </xf>
    <xf numFmtId="0" fontId="3" fillId="3" borderId="3" xfId="0" applyNumberFormat="1" applyFont="1" applyFill="1" applyBorder="1" applyAlignment="1" applyProtection="1">
      <alignment horizontal="left" vertical="center"/>
      <protection/>
    </xf>
    <xf numFmtId="4" fontId="2" fillId="3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49" fontId="7" fillId="2" borderId="0" xfId="0" applyNumberFormat="1" applyFont="1" applyFill="1" applyAlignment="1" applyProtection="1">
      <alignment horizontal="center" vertical="center"/>
      <protection/>
    </xf>
    <xf numFmtId="17" fontId="3" fillId="3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right" vertical="center"/>
      <protection/>
    </xf>
    <xf numFmtId="10" fontId="3" fillId="2" borderId="15" xfId="0" applyNumberFormat="1" applyFont="1" applyFill="1" applyBorder="1" applyAlignment="1" applyProtection="1">
      <alignment horizontal="center" vertical="center"/>
      <protection/>
    </xf>
    <xf numFmtId="17" fontId="3" fillId="2" borderId="1" xfId="0" applyNumberFormat="1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3" fillId="2" borderId="0" xfId="0" applyNumberFormat="1" applyFont="1" applyFill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Fill="1" applyBorder="1" applyAlignment="1" applyProtection="1">
      <alignment horizontal="center" vertical="top"/>
      <protection/>
    </xf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4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9" fillId="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/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2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13" xfId="20" applyFont="1" applyFill="1" applyBorder="1" applyAlignment="1" applyProtection="1">
      <alignment horizontal="left" vertical="center" wrapText="1"/>
      <protection locked="0"/>
    </xf>
    <xf numFmtId="44" fontId="0" fillId="0" borderId="13" xfId="0" applyNumberFormat="1" applyBorder="1" applyAlignment="1">
      <alignment vertical="center"/>
    </xf>
    <xf numFmtId="44" fontId="10" fillId="2" borderId="13" xfId="20" applyFont="1" applyFill="1" applyBorder="1" applyAlignment="1" applyProtection="1">
      <alignment horizontal="right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4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3" borderId="4" xfId="0" applyFill="1" applyBorder="1" applyAlignment="1">
      <alignment vertical="center"/>
    </xf>
    <xf numFmtId="44" fontId="0" fillId="0" borderId="20" xfId="0" applyNumberForma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>
      <alignment vertical="center" wrapText="1"/>
    </xf>
    <xf numFmtId="2" fontId="0" fillId="0" borderId="2" xfId="0" applyNumberFormat="1" applyBorder="1" applyAlignment="1">
      <alignment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4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4" fontId="10" fillId="0" borderId="1" xfId="20" applyNumberFormat="1" applyFont="1" applyFill="1" applyBorder="1" applyAlignment="1" applyProtection="1">
      <alignment horizontal="righ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44" fontId="12" fillId="3" borderId="1" xfId="0" applyNumberFormat="1" applyFont="1" applyFill="1" applyBorder="1"/>
    <xf numFmtId="4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center" vertical="center"/>
      <protection/>
    </xf>
    <xf numFmtId="4" fontId="4" fillId="3" borderId="3" xfId="0" applyNumberFormat="1" applyFont="1" applyFill="1" applyBorder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173"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17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17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17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17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0</xdr:colOff>
      <xdr:row>0</xdr:row>
      <xdr:rowOff>142875</xdr:rowOff>
    </xdr:from>
    <xdr:to>
      <xdr:col>14</xdr:col>
      <xdr:colOff>600075</xdr:colOff>
      <xdr:row>4</xdr:row>
      <xdr:rowOff>762000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875"/>
          <a:ext cx="7353300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47625</xdr:colOff>
      <xdr:row>9</xdr:row>
      <xdr:rowOff>114300</xdr:rowOff>
    </xdr:from>
    <xdr:to>
      <xdr:col>12</xdr:col>
      <xdr:colOff>914400</xdr:colOff>
      <xdr:row>9</xdr:row>
      <xdr:rowOff>114300</xdr:rowOff>
    </xdr:to>
    <xdr:cxnSp macro="">
      <xdr:nvCxnSpPr>
        <xdr:cNvPr id="8" name="Conector reto 7"/>
        <xdr:cNvCxnSpPr/>
      </xdr:nvCxnSpPr>
      <xdr:spPr>
        <a:xfrm>
          <a:off x="5410200" y="2676525"/>
          <a:ext cx="8667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10</xdr:row>
      <xdr:rowOff>114300</xdr:rowOff>
    </xdr:from>
    <xdr:to>
      <xdr:col>12</xdr:col>
      <xdr:colOff>923925</xdr:colOff>
      <xdr:row>10</xdr:row>
      <xdr:rowOff>114300</xdr:rowOff>
    </xdr:to>
    <xdr:cxnSp macro="">
      <xdr:nvCxnSpPr>
        <xdr:cNvPr id="9" name="Conector reto 8"/>
        <xdr:cNvCxnSpPr/>
      </xdr:nvCxnSpPr>
      <xdr:spPr>
        <a:xfrm>
          <a:off x="5410200" y="3028950"/>
          <a:ext cx="8763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11</xdr:row>
      <xdr:rowOff>161925</xdr:rowOff>
    </xdr:from>
    <xdr:to>
      <xdr:col>14</xdr:col>
      <xdr:colOff>904875</xdr:colOff>
      <xdr:row>11</xdr:row>
      <xdr:rowOff>161925</xdr:rowOff>
    </xdr:to>
    <xdr:cxnSp macro="">
      <xdr:nvCxnSpPr>
        <xdr:cNvPr id="10" name="Conector reto 9"/>
        <xdr:cNvCxnSpPr/>
      </xdr:nvCxnSpPr>
      <xdr:spPr>
        <a:xfrm flipV="1">
          <a:off x="6419850" y="3429000"/>
          <a:ext cx="18478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12</xdr:row>
      <xdr:rowOff>161925</xdr:rowOff>
    </xdr:from>
    <xdr:to>
      <xdr:col>13</xdr:col>
      <xdr:colOff>1009650</xdr:colOff>
      <xdr:row>12</xdr:row>
      <xdr:rowOff>161925</xdr:rowOff>
    </xdr:to>
    <xdr:cxnSp macro="">
      <xdr:nvCxnSpPr>
        <xdr:cNvPr id="12" name="Conector reto 11"/>
        <xdr:cNvCxnSpPr/>
      </xdr:nvCxnSpPr>
      <xdr:spPr>
        <a:xfrm>
          <a:off x="6438900" y="3781425"/>
          <a:ext cx="8953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13</xdr:row>
      <xdr:rowOff>161925</xdr:rowOff>
    </xdr:from>
    <xdr:to>
      <xdr:col>13</xdr:col>
      <xdr:colOff>1000125</xdr:colOff>
      <xdr:row>13</xdr:row>
      <xdr:rowOff>161925</xdr:rowOff>
    </xdr:to>
    <xdr:cxnSp macro="">
      <xdr:nvCxnSpPr>
        <xdr:cNvPr id="13" name="Conector reto 12"/>
        <xdr:cNvCxnSpPr/>
      </xdr:nvCxnSpPr>
      <xdr:spPr>
        <a:xfrm>
          <a:off x="6438900" y="4133850"/>
          <a:ext cx="8858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14</xdr:row>
      <xdr:rowOff>180975</xdr:rowOff>
    </xdr:from>
    <xdr:to>
      <xdr:col>14</xdr:col>
      <xdr:colOff>923925</xdr:colOff>
      <xdr:row>14</xdr:row>
      <xdr:rowOff>180975</xdr:rowOff>
    </xdr:to>
    <xdr:cxnSp macro="">
      <xdr:nvCxnSpPr>
        <xdr:cNvPr id="14" name="Conector reto 13"/>
        <xdr:cNvCxnSpPr/>
      </xdr:nvCxnSpPr>
      <xdr:spPr>
        <a:xfrm>
          <a:off x="7439025" y="4505325"/>
          <a:ext cx="8477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15</xdr:row>
      <xdr:rowOff>152400</xdr:rowOff>
    </xdr:from>
    <xdr:to>
      <xdr:col>15</xdr:col>
      <xdr:colOff>971550</xdr:colOff>
      <xdr:row>15</xdr:row>
      <xdr:rowOff>171450</xdr:rowOff>
    </xdr:to>
    <xdr:cxnSp macro="">
      <xdr:nvCxnSpPr>
        <xdr:cNvPr id="15" name="Conector reto 14"/>
        <xdr:cNvCxnSpPr/>
      </xdr:nvCxnSpPr>
      <xdr:spPr>
        <a:xfrm>
          <a:off x="6438900" y="4829175"/>
          <a:ext cx="2886075" cy="1905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16</xdr:row>
      <xdr:rowOff>161925</xdr:rowOff>
    </xdr:from>
    <xdr:to>
      <xdr:col>15</xdr:col>
      <xdr:colOff>933450</xdr:colOff>
      <xdr:row>16</xdr:row>
      <xdr:rowOff>161925</xdr:rowOff>
    </xdr:to>
    <xdr:cxnSp macro="">
      <xdr:nvCxnSpPr>
        <xdr:cNvPr id="17" name="Conector reto 16"/>
        <xdr:cNvCxnSpPr/>
      </xdr:nvCxnSpPr>
      <xdr:spPr>
        <a:xfrm>
          <a:off x="6429375" y="5191125"/>
          <a:ext cx="28575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17</xdr:row>
      <xdr:rowOff>152400</xdr:rowOff>
    </xdr:from>
    <xdr:to>
      <xdr:col>15</xdr:col>
      <xdr:colOff>962025</xdr:colOff>
      <xdr:row>17</xdr:row>
      <xdr:rowOff>152400</xdr:rowOff>
    </xdr:to>
    <xdr:cxnSp macro="">
      <xdr:nvCxnSpPr>
        <xdr:cNvPr id="18" name="Conector reto 17"/>
        <xdr:cNvCxnSpPr/>
      </xdr:nvCxnSpPr>
      <xdr:spPr>
        <a:xfrm>
          <a:off x="7486650" y="5534025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18</xdr:row>
      <xdr:rowOff>171450</xdr:rowOff>
    </xdr:from>
    <xdr:to>
      <xdr:col>15</xdr:col>
      <xdr:colOff>952500</xdr:colOff>
      <xdr:row>18</xdr:row>
      <xdr:rowOff>171450</xdr:rowOff>
    </xdr:to>
    <xdr:cxnSp macro="">
      <xdr:nvCxnSpPr>
        <xdr:cNvPr id="20" name="Conector reto 19"/>
        <xdr:cNvCxnSpPr/>
      </xdr:nvCxnSpPr>
      <xdr:spPr>
        <a:xfrm>
          <a:off x="8410575" y="5905500"/>
          <a:ext cx="8953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19</xdr:row>
      <xdr:rowOff>152400</xdr:rowOff>
    </xdr:from>
    <xdr:to>
      <xdr:col>15</xdr:col>
      <xdr:colOff>962025</xdr:colOff>
      <xdr:row>19</xdr:row>
      <xdr:rowOff>152400</xdr:rowOff>
    </xdr:to>
    <xdr:cxnSp macro="">
      <xdr:nvCxnSpPr>
        <xdr:cNvPr id="21" name="Conector reto 20"/>
        <xdr:cNvCxnSpPr/>
      </xdr:nvCxnSpPr>
      <xdr:spPr>
        <a:xfrm>
          <a:off x="8429625" y="6238875"/>
          <a:ext cx="8858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64</xdr:row>
      <xdr:rowOff>276225</xdr:rowOff>
    </xdr:from>
    <xdr:ext cx="180975" cy="323850"/>
    <xdr:sp macro="" textlink="">
      <xdr:nvSpPr>
        <xdr:cNvPr id="2" name="CaixaDeTexto 1"/>
        <xdr:cNvSpPr txBox="1"/>
      </xdr:nvSpPr>
      <xdr:spPr>
        <a:xfrm>
          <a:off x="266700" y="19573875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64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1929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63</xdr:row>
      <xdr:rowOff>161925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863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63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846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647700</xdr:colOff>
      <xdr:row>0</xdr:row>
      <xdr:rowOff>142875</xdr:rowOff>
    </xdr:from>
    <xdr:to>
      <xdr:col>7</xdr:col>
      <xdr:colOff>714375</xdr:colOff>
      <xdr:row>4</xdr:row>
      <xdr:rowOff>762000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142875"/>
          <a:ext cx="7362825" cy="1381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57</xdr:row>
      <xdr:rowOff>276225</xdr:rowOff>
    </xdr:from>
    <xdr:ext cx="180975" cy="419100"/>
    <xdr:sp macro="" textlink="">
      <xdr:nvSpPr>
        <xdr:cNvPr id="2" name="CaixaDeTexto 1"/>
        <xdr:cNvSpPr txBox="1"/>
      </xdr:nvSpPr>
      <xdr:spPr>
        <a:xfrm>
          <a:off x="266700" y="198120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55</xdr:row>
      <xdr:rowOff>161925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1931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58</xdr:row>
      <xdr:rowOff>161925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2002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57</xdr:row>
      <xdr:rowOff>161925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969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55</xdr:row>
      <xdr:rowOff>161925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931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55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1915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55</xdr:row>
      <xdr:rowOff>161925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1931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55</xdr:row>
      <xdr:rowOff>161925</xdr:rowOff>
    </xdr:from>
    <xdr:ext cx="180975" cy="266700"/>
    <xdr:sp macro="" textlink="">
      <xdr:nvSpPr>
        <xdr:cNvPr id="9" name="CaixaDeTexto 8"/>
        <xdr:cNvSpPr txBox="1"/>
      </xdr:nvSpPr>
      <xdr:spPr>
        <a:xfrm>
          <a:off x="266700" y="1931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55</xdr:row>
      <xdr:rowOff>0</xdr:rowOff>
    </xdr:from>
    <xdr:ext cx="180975" cy="266700"/>
    <xdr:sp macro="" textlink="">
      <xdr:nvSpPr>
        <xdr:cNvPr id="10" name="CaixaDeTexto 9"/>
        <xdr:cNvSpPr txBox="1"/>
      </xdr:nvSpPr>
      <xdr:spPr>
        <a:xfrm>
          <a:off x="266700" y="1915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200025</xdr:rowOff>
    </xdr:from>
    <xdr:ext cx="180975" cy="333375"/>
    <xdr:sp macro="" textlink="">
      <xdr:nvSpPr>
        <xdr:cNvPr id="11" name="CaixaDeTexto 10"/>
        <xdr:cNvSpPr txBox="1"/>
      </xdr:nvSpPr>
      <xdr:spPr>
        <a:xfrm>
          <a:off x="266700" y="184023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12" name="CaixaDeTexto 11"/>
        <xdr:cNvSpPr txBox="1"/>
      </xdr:nvSpPr>
      <xdr:spPr>
        <a:xfrm>
          <a:off x="266700" y="1820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genharia%20e%20Arquitetura\Arquivos%20compartilhados\06-%20CONV&#202;NIOS\TABELAS%20DE%20PRE&#199;O\CPOS\CPOS%20181\COM%20DESONERA&#199;&#195;O\servicoscd_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2">
          <cell r="B2" t="str">
            <v>PREFEITURA MUNICIPAL DE TIETE</v>
          </cell>
        </row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>
        <row r="4">
          <cell r="E4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onerado-181"/>
    </sheetNames>
    <sheetDataSet>
      <sheetData sheetId="0">
        <row r="669">
          <cell r="A669" t="str">
            <v>12.01.021</v>
          </cell>
          <cell r="B669" t="str">
            <v>Broca em concreto armado diâmetro de 20 cm - 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30"/>
  <sheetViews>
    <sheetView tabSelected="1" zoomScale="110" zoomScaleNormal="110" workbookViewId="0" topLeftCell="A1">
      <selection activeCell="S13" sqref="S13"/>
    </sheetView>
  </sheetViews>
  <sheetFormatPr defaultColWidth="9.140625" defaultRowHeight="15"/>
  <cols>
    <col min="1" max="1" width="9.140625" style="21" customWidth="1"/>
    <col min="2" max="2" width="54.8515625" style="21" customWidth="1"/>
    <col min="3" max="3" width="16.421875" style="21" customWidth="1"/>
    <col min="4" max="4" width="12.7109375" style="198" hidden="1" customWidth="1"/>
    <col min="5" max="5" width="15.00390625" style="198" hidden="1" customWidth="1"/>
    <col min="6" max="6" width="16.00390625" style="198" hidden="1" customWidth="1"/>
    <col min="7" max="7" width="12.8515625" style="0" hidden="1" customWidth="1"/>
    <col min="8" max="8" width="15.421875" style="0" hidden="1" customWidth="1"/>
    <col min="9" max="9" width="15.00390625" style="0" hidden="1" customWidth="1"/>
    <col min="10" max="10" width="14.00390625" style="0" hidden="1" customWidth="1"/>
    <col min="11" max="11" width="17.421875" style="0" hidden="1" customWidth="1"/>
    <col min="12" max="12" width="14.57421875" style="0" hidden="1" customWidth="1"/>
    <col min="13" max="13" width="14.421875" style="0" customWidth="1"/>
    <col min="14" max="14" width="15.57421875" style="0" customWidth="1"/>
    <col min="15" max="15" width="14.8515625" style="0" customWidth="1"/>
    <col min="16" max="16" width="15.7109375" style="0" customWidth="1"/>
  </cols>
  <sheetData>
    <row r="1" ht="15"/>
    <row r="2" ht="15"/>
    <row r="3" ht="15"/>
    <row r="4" ht="15"/>
    <row r="5" spans="1:4" ht="73.5" customHeight="1">
      <c r="A5" s="122"/>
      <c r="B5" s="123"/>
      <c r="C5" s="126"/>
      <c r="D5" s="142"/>
    </row>
    <row r="6" spans="1:16" ht="22.5" customHeight="1">
      <c r="A6" s="210" t="s">
        <v>309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</row>
    <row r="7" spans="1:16" ht="15.75">
      <c r="A7" s="211" t="s">
        <v>204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4" ht="15">
      <c r="A8" s="132"/>
      <c r="B8" s="133"/>
      <c r="C8" s="126"/>
      <c r="D8" s="144"/>
    </row>
    <row r="9" spans="1:16" ht="15">
      <c r="A9" s="140" t="s">
        <v>2</v>
      </c>
      <c r="B9" s="140" t="s">
        <v>4</v>
      </c>
      <c r="C9" s="140" t="s">
        <v>9</v>
      </c>
      <c r="D9" s="160" t="s">
        <v>17</v>
      </c>
      <c r="E9" s="107" t="s">
        <v>200</v>
      </c>
      <c r="F9" s="149" t="s">
        <v>201</v>
      </c>
      <c r="G9" s="148" t="s">
        <v>17</v>
      </c>
      <c r="H9" s="107" t="s">
        <v>200</v>
      </c>
      <c r="I9" s="149" t="s">
        <v>201</v>
      </c>
      <c r="J9" s="148" t="s">
        <v>17</v>
      </c>
      <c r="K9" s="107" t="s">
        <v>200</v>
      </c>
      <c r="L9" s="203" t="s">
        <v>201</v>
      </c>
      <c r="M9" s="107" t="s">
        <v>194</v>
      </c>
      <c r="N9" s="107" t="s">
        <v>195</v>
      </c>
      <c r="O9" s="107" t="s">
        <v>196</v>
      </c>
      <c r="P9" s="107" t="s">
        <v>197</v>
      </c>
    </row>
    <row r="10" spans="1:16" ht="27.75" customHeight="1">
      <c r="A10" s="52" t="s">
        <v>171</v>
      </c>
      <c r="B10" s="52" t="s">
        <v>13</v>
      </c>
      <c r="C10" s="54">
        <f>Planilha1!I13</f>
        <v>4393.220644182</v>
      </c>
      <c r="D10" s="154"/>
      <c r="E10" s="154"/>
      <c r="F10" s="155"/>
      <c r="G10" s="153"/>
      <c r="H10" s="154"/>
      <c r="I10" s="155"/>
      <c r="J10" s="153"/>
      <c r="K10" s="154"/>
      <c r="L10" s="154"/>
      <c r="M10" s="205">
        <f>C10</f>
        <v>4393.220644182</v>
      </c>
      <c r="N10" s="206"/>
      <c r="O10" s="206"/>
      <c r="P10" s="206"/>
    </row>
    <row r="11" spans="1:16" ht="27.75" customHeight="1">
      <c r="A11" s="52" t="s">
        <v>134</v>
      </c>
      <c r="B11" s="201" t="s">
        <v>218</v>
      </c>
      <c r="C11" s="54">
        <f>Planilha1!I21</f>
        <v>26569.47422859</v>
      </c>
      <c r="D11" s="154"/>
      <c r="E11" s="154"/>
      <c r="F11" s="155"/>
      <c r="G11" s="153"/>
      <c r="H11" s="154"/>
      <c r="I11" s="155"/>
      <c r="J11" s="153"/>
      <c r="K11" s="154"/>
      <c r="L11" s="154"/>
      <c r="M11" s="205">
        <f>C11</f>
        <v>26569.47422859</v>
      </c>
      <c r="N11" s="206"/>
      <c r="O11" s="206"/>
      <c r="P11" s="206"/>
    </row>
    <row r="12" spans="1:16" ht="27.75" customHeight="1">
      <c r="A12" s="52" t="s">
        <v>36</v>
      </c>
      <c r="B12" s="201" t="s">
        <v>50</v>
      </c>
      <c r="C12" s="54">
        <f>Planilha1!I30</f>
        <v>68134.79024028499</v>
      </c>
      <c r="D12" s="154"/>
      <c r="E12" s="154"/>
      <c r="F12" s="155"/>
      <c r="G12" s="153"/>
      <c r="H12" s="154"/>
      <c r="I12" s="155"/>
      <c r="J12" s="153"/>
      <c r="K12" s="154"/>
      <c r="L12" s="154"/>
      <c r="M12" s="206"/>
      <c r="N12" s="205">
        <f>C12/2</f>
        <v>34067.39512014249</v>
      </c>
      <c r="O12" s="205">
        <f>C12/2</f>
        <v>34067.39512014249</v>
      </c>
      <c r="P12" s="206"/>
    </row>
    <row r="13" spans="1:16" ht="27.75" customHeight="1">
      <c r="A13" s="52" t="s">
        <v>51</v>
      </c>
      <c r="B13" s="201" t="s">
        <v>170</v>
      </c>
      <c r="C13" s="54">
        <f>Planilha1!I35</f>
        <v>4292.806707373999</v>
      </c>
      <c r="D13" s="154"/>
      <c r="E13" s="154"/>
      <c r="F13" s="155"/>
      <c r="G13" s="153"/>
      <c r="H13" s="154"/>
      <c r="I13" s="155"/>
      <c r="J13" s="153"/>
      <c r="K13" s="154"/>
      <c r="L13" s="154"/>
      <c r="M13" s="206"/>
      <c r="N13" s="205">
        <f>C13</f>
        <v>4292.806707373999</v>
      </c>
      <c r="O13" s="206"/>
      <c r="P13" s="206"/>
    </row>
    <row r="14" spans="1:16" ht="27.75" customHeight="1">
      <c r="A14" s="52" t="s">
        <v>56</v>
      </c>
      <c r="B14" s="201" t="s">
        <v>169</v>
      </c>
      <c r="C14" s="54">
        <f>Planilha1!I41</f>
        <v>9687.37504048</v>
      </c>
      <c r="D14" s="154"/>
      <c r="E14" s="154"/>
      <c r="F14" s="155">
        <f aca="true" t="shared" si="0" ref="F14">C14-E14</f>
        <v>9687.37504048</v>
      </c>
      <c r="G14" s="153"/>
      <c r="H14" s="154"/>
      <c r="I14" s="155">
        <f aca="true" t="shared" si="1" ref="I14">C14-E14-H14</f>
        <v>9687.37504048</v>
      </c>
      <c r="J14" s="153"/>
      <c r="K14" s="154"/>
      <c r="L14" s="154"/>
      <c r="M14" s="206"/>
      <c r="N14" s="205">
        <f>C14</f>
        <v>9687.37504048</v>
      </c>
      <c r="O14" s="206"/>
      <c r="P14" s="206"/>
    </row>
    <row r="15" spans="1:16" ht="27.75" customHeight="1">
      <c r="A15" s="52" t="s">
        <v>60</v>
      </c>
      <c r="B15" s="201" t="s">
        <v>57</v>
      </c>
      <c r="C15" s="54">
        <f>Planilha1!I46</f>
        <v>9173.81436375</v>
      </c>
      <c r="D15" s="154"/>
      <c r="E15" s="154"/>
      <c r="F15" s="155"/>
      <c r="G15" s="153"/>
      <c r="H15" s="154"/>
      <c r="I15" s="155"/>
      <c r="J15" s="153"/>
      <c r="K15" s="154"/>
      <c r="L15" s="154"/>
      <c r="M15" s="206"/>
      <c r="N15" s="206"/>
      <c r="O15" s="205">
        <f>C15</f>
        <v>9173.81436375</v>
      </c>
      <c r="P15" s="206"/>
    </row>
    <row r="16" spans="1:16" ht="27.75" customHeight="1">
      <c r="A16" s="52" t="s">
        <v>72</v>
      </c>
      <c r="B16" s="201" t="s">
        <v>148</v>
      </c>
      <c r="C16" s="54">
        <f>Planilha1!I50</f>
        <v>12207.209496999998</v>
      </c>
      <c r="D16" s="154"/>
      <c r="E16" s="154"/>
      <c r="F16" s="155"/>
      <c r="G16" s="153"/>
      <c r="H16" s="154"/>
      <c r="I16" s="155"/>
      <c r="J16" s="153"/>
      <c r="K16" s="154"/>
      <c r="L16" s="154"/>
      <c r="M16" s="206"/>
      <c r="N16" s="205">
        <f>C16/3</f>
        <v>4069.0698323333327</v>
      </c>
      <c r="O16" s="205">
        <f>C16/3</f>
        <v>4069.0698323333327</v>
      </c>
      <c r="P16" s="205">
        <f>C16/3</f>
        <v>4069.0698323333327</v>
      </c>
    </row>
    <row r="17" spans="1:16" ht="27.75" customHeight="1">
      <c r="A17" s="52" t="s">
        <v>76</v>
      </c>
      <c r="B17" s="201" t="s">
        <v>77</v>
      </c>
      <c r="C17" s="54">
        <f>Planilha1!I62</f>
        <v>10575.03956</v>
      </c>
      <c r="D17" s="154"/>
      <c r="E17" s="154"/>
      <c r="F17" s="155"/>
      <c r="G17" s="153"/>
      <c r="H17" s="154"/>
      <c r="I17" s="155"/>
      <c r="J17" s="153"/>
      <c r="K17" s="154"/>
      <c r="L17" s="154"/>
      <c r="M17" s="206"/>
      <c r="N17" s="205">
        <f>C17/3</f>
        <v>3525.0131866666666</v>
      </c>
      <c r="O17" s="205">
        <f>C17/3</f>
        <v>3525.0131866666666</v>
      </c>
      <c r="P17" s="205">
        <f>C17/3</f>
        <v>3525.0131866666666</v>
      </c>
    </row>
    <row r="18" spans="1:16" ht="27.75" customHeight="1">
      <c r="A18" s="52" t="s">
        <v>85</v>
      </c>
      <c r="B18" s="201" t="s">
        <v>86</v>
      </c>
      <c r="C18" s="54">
        <f>Planilha1!I74</f>
        <v>2590.75303695</v>
      </c>
      <c r="D18" s="154"/>
      <c r="E18" s="154"/>
      <c r="F18" s="155"/>
      <c r="G18" s="153"/>
      <c r="H18" s="154"/>
      <c r="I18" s="155"/>
      <c r="J18" s="153"/>
      <c r="K18" s="154"/>
      <c r="L18" s="154"/>
      <c r="M18" s="206"/>
      <c r="N18" s="206"/>
      <c r="O18" s="205">
        <f>C18/2</f>
        <v>1295.376518475</v>
      </c>
      <c r="P18" s="205">
        <f>C18/2</f>
        <v>1295.376518475</v>
      </c>
    </row>
    <row r="19" spans="1:16" ht="27.75" customHeight="1">
      <c r="A19" s="52" t="s">
        <v>94</v>
      </c>
      <c r="B19" s="201" t="s">
        <v>115</v>
      </c>
      <c r="C19" s="202">
        <f>Planilha1!I79</f>
        <v>5708.3382121800005</v>
      </c>
      <c r="D19" s="154"/>
      <c r="E19" s="154"/>
      <c r="F19" s="155">
        <f aca="true" t="shared" si="2" ref="F19:F21">C19-E19</f>
        <v>5708.3382121800005</v>
      </c>
      <c r="G19" s="153"/>
      <c r="H19" s="154"/>
      <c r="I19" s="155"/>
      <c r="J19" s="153"/>
      <c r="K19" s="154"/>
      <c r="L19" s="154"/>
      <c r="M19" s="206"/>
      <c r="N19" s="206"/>
      <c r="O19" s="206"/>
      <c r="P19" s="207">
        <f>C19</f>
        <v>5708.3382121800005</v>
      </c>
    </row>
    <row r="20" spans="1:16" ht="27.75" customHeight="1">
      <c r="A20" s="52" t="s">
        <v>119</v>
      </c>
      <c r="B20" s="141" t="s">
        <v>191</v>
      </c>
      <c r="C20" s="202">
        <f>Planilha1!I84</f>
        <v>13667.201983985</v>
      </c>
      <c r="D20" s="154"/>
      <c r="E20" s="154"/>
      <c r="F20" s="155">
        <f t="shared" si="2"/>
        <v>13667.201983985</v>
      </c>
      <c r="G20" s="153"/>
      <c r="H20" s="154"/>
      <c r="I20" s="155">
        <f aca="true" t="shared" si="3" ref="I20:I21">C20-E20-H20</f>
        <v>13667.201983985</v>
      </c>
      <c r="J20" s="153"/>
      <c r="K20" s="154"/>
      <c r="L20" s="154"/>
      <c r="M20" s="206"/>
      <c r="N20" s="206"/>
      <c r="O20" s="206"/>
      <c r="P20" s="207">
        <f>C20</f>
        <v>13667.201983985</v>
      </c>
    </row>
    <row r="21" spans="1:16" ht="15">
      <c r="A21" s="49"/>
      <c r="B21" s="180"/>
      <c r="C21" s="183">
        <f>C20+C19+C18+C17+C16+C15+C14+C13+C12+C11+C10</f>
        <v>167000.023514776</v>
      </c>
      <c r="F21" s="198">
        <f t="shared" si="2"/>
        <v>167000.023514776</v>
      </c>
      <c r="I21" s="181">
        <f t="shared" si="3"/>
        <v>167000.023514776</v>
      </c>
      <c r="M21" s="204">
        <f>SUM(M10:M20)</f>
        <v>30962.694872772</v>
      </c>
      <c r="N21" s="204">
        <f>SUM(N10:N20)</f>
        <v>55641.659886996495</v>
      </c>
      <c r="O21" s="204">
        <f>SUM(O10:O20)</f>
        <v>52130.669021367496</v>
      </c>
      <c r="P21" s="204">
        <f>SUM(P10:P20)</f>
        <v>28264.999733639997</v>
      </c>
    </row>
    <row r="22" spans="1:9" ht="15">
      <c r="A22" s="185"/>
      <c r="B22" s="185"/>
      <c r="C22" s="188"/>
      <c r="I22" s="184"/>
    </row>
    <row r="23" spans="1:14" ht="15">
      <c r="A23" s="185"/>
      <c r="B23" s="185"/>
      <c r="C23" s="188"/>
      <c r="I23" s="184"/>
      <c r="N23" s="166"/>
    </row>
    <row r="24" spans="1:16" ht="15">
      <c r="A24" s="189"/>
      <c r="B24" s="189"/>
      <c r="C24" s="208" t="s">
        <v>276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</row>
    <row r="25" spans="3:7" ht="15">
      <c r="C25" s="199"/>
      <c r="D25" s="199"/>
      <c r="E25" s="199"/>
      <c r="F25" s="199"/>
      <c r="G25" s="199"/>
    </row>
    <row r="26" spans="4:7" ht="15">
      <c r="D26" s="199"/>
      <c r="E26" s="21"/>
      <c r="F26" s="21"/>
      <c r="G26" s="21"/>
    </row>
    <row r="27" spans="1:19" s="198" customFormat="1" ht="15">
      <c r="A27" s="21"/>
      <c r="B27" s="21"/>
      <c r="C27" s="209" t="s">
        <v>131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/>
      <c r="R27"/>
      <c r="S27"/>
    </row>
    <row r="28" spans="1:19" s="198" customFormat="1" ht="15">
      <c r="A28" s="21"/>
      <c r="B28" s="21"/>
      <c r="C28" s="209" t="s">
        <v>132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/>
      <c r="R28"/>
      <c r="S28"/>
    </row>
    <row r="29" spans="1:19" s="198" customFormat="1" ht="15">
      <c r="A29" s="21"/>
      <c r="B29" s="21"/>
      <c r="C29" s="209" t="s">
        <v>133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/>
      <c r="R29"/>
      <c r="S29"/>
    </row>
    <row r="30" spans="1:19" s="198" customFormat="1" ht="15">
      <c r="A30" s="21"/>
      <c r="B30" s="21"/>
      <c r="C30" s="199"/>
      <c r="G30"/>
      <c r="H30"/>
      <c r="I30"/>
      <c r="J30"/>
      <c r="K30"/>
      <c r="L30"/>
      <c r="M30"/>
      <c r="N30"/>
      <c r="O30"/>
      <c r="P30"/>
      <c r="Q30"/>
      <c r="R30"/>
      <c r="S30"/>
    </row>
  </sheetData>
  <mergeCells count="6">
    <mergeCell ref="C24:P24"/>
    <mergeCell ref="C27:P27"/>
    <mergeCell ref="C28:P28"/>
    <mergeCell ref="C29:P29"/>
    <mergeCell ref="A6:P6"/>
    <mergeCell ref="A7:P7"/>
  </mergeCells>
  <conditionalFormatting sqref="B10:C10 A10:A13 A17 C11:C16 C18:C20">
    <cfRule type="expression" priority="90" dxfId="0">
      <formula>IF($F10="I",TRUE,FALSE)</formula>
    </cfRule>
    <cfRule type="expression" priority="91" dxfId="1">
      <formula>IF($F10="T",TRUE,FALSE)</formula>
    </cfRule>
  </conditionalFormatting>
  <conditionalFormatting sqref="A14">
    <cfRule type="expression" priority="87" dxfId="0">
      <formula>IF($F14="I",TRUE,FALSE)</formula>
    </cfRule>
    <cfRule type="expression" priority="88" dxfId="1">
      <formula>IF($F14="T",TRUE,FALSE)</formula>
    </cfRule>
  </conditionalFormatting>
  <conditionalFormatting sqref="A15">
    <cfRule type="expression" priority="83" dxfId="0">
      <formula>IF($F15="I",TRUE,FALSE)</formula>
    </cfRule>
    <cfRule type="expression" priority="84" dxfId="1">
      <formula>IF($F15="T",TRUE,FALSE)</formula>
    </cfRule>
  </conditionalFormatting>
  <conditionalFormatting sqref="A16">
    <cfRule type="expression" priority="81" dxfId="0">
      <formula>IF($F16="I",TRUE,FALSE)</formula>
    </cfRule>
    <cfRule type="expression" priority="82" dxfId="1">
      <formula>IF($F16="T",TRUE,FALSE)</formula>
    </cfRule>
  </conditionalFormatting>
  <conditionalFormatting sqref="C17">
    <cfRule type="expression" priority="79" dxfId="0">
      <formula>IF($F17="I",TRUE,FALSE)</formula>
    </cfRule>
    <cfRule type="expression" priority="80" dxfId="1">
      <formula>IF($F17="T",TRUE,FALSE)</formula>
    </cfRule>
  </conditionalFormatting>
  <conditionalFormatting sqref="A18">
    <cfRule type="expression" priority="77" dxfId="0">
      <formula>IF($F18="I",TRUE,FALSE)</formula>
    </cfRule>
    <cfRule type="expression" priority="78" dxfId="1">
      <formula>IF($F18="T",TRUE,FALSE)</formula>
    </cfRule>
  </conditionalFormatting>
  <conditionalFormatting sqref="A19">
    <cfRule type="expression" priority="55" dxfId="0">
      <formula>IF($F19="I",TRUE,FALSE)</formula>
    </cfRule>
    <cfRule type="expression" priority="56" dxfId="1">
      <formula>IF($F19="T",TRUE,FALSE)</formula>
    </cfRule>
  </conditionalFormatting>
  <conditionalFormatting sqref="A20">
    <cfRule type="expression" priority="48" dxfId="0">
      <formula>IF($F20="I",TRUE,FALSE)</formula>
    </cfRule>
    <cfRule type="expression" priority="49" dxfId="1">
      <formula>IF($F20="T",TRUE,FALSE)</formula>
    </cfRule>
  </conditionalFormatting>
  <printOptions horizontalCentered="1"/>
  <pageMargins left="0.1968503937007874" right="0.1968503937007874" top="0.7874015748031497" bottom="0.7874015748031497" header="0.31496062992125984" footer="0.31496062992125984"/>
  <pageSetup fitToHeight="4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9"/>
  <sheetViews>
    <sheetView zoomScale="110" zoomScaleNormal="110" workbookViewId="0" topLeftCell="A1">
      <selection activeCell="I84" sqref="I84"/>
    </sheetView>
  </sheetViews>
  <sheetFormatPr defaultColWidth="9.140625" defaultRowHeight="15"/>
  <cols>
    <col min="1" max="1" width="9.140625" style="21" customWidth="1"/>
    <col min="2" max="2" width="10.8515625" style="26" bestFit="1" customWidth="1"/>
    <col min="3" max="3" width="10.8515625" style="26" customWidth="1"/>
    <col min="4" max="4" width="54.8515625" style="21" customWidth="1"/>
    <col min="5" max="5" width="9.140625" style="21" customWidth="1"/>
    <col min="6" max="6" width="9.140625" style="26" customWidth="1"/>
    <col min="7" max="7" width="14.57421875" style="21" customWidth="1"/>
    <col min="8" max="8" width="14.8515625" style="21" customWidth="1"/>
    <col min="9" max="9" width="16.421875" style="21" customWidth="1"/>
    <col min="10" max="10" width="12.7109375" style="147" hidden="1" customWidth="1"/>
    <col min="11" max="11" width="15.00390625" style="147" hidden="1" customWidth="1"/>
    <col min="12" max="12" width="16.00390625" style="147" hidden="1" customWidth="1"/>
    <col min="13" max="13" width="12.8515625" style="0" hidden="1" customWidth="1"/>
    <col min="14" max="14" width="15.421875" style="0" hidden="1" customWidth="1"/>
    <col min="15" max="15" width="15.00390625" style="0" hidden="1" customWidth="1"/>
    <col min="16" max="16" width="14.00390625" style="0" hidden="1" customWidth="1"/>
    <col min="17" max="17" width="17.421875" style="0" hidden="1" customWidth="1"/>
    <col min="18" max="18" width="14.57421875" style="0" hidden="1" customWidth="1"/>
  </cols>
  <sheetData>
    <row r="1" ht="15"/>
    <row r="2" ht="15"/>
    <row r="3" ht="15"/>
    <row r="4" ht="15"/>
    <row r="5" spans="1:10" ht="73.5" customHeight="1">
      <c r="A5" s="122"/>
      <c r="B5" s="104"/>
      <c r="C5" s="104"/>
      <c r="D5" s="123"/>
      <c r="E5" s="124"/>
      <c r="F5" s="104"/>
      <c r="G5" s="163"/>
      <c r="H5" s="125"/>
      <c r="I5" s="126"/>
      <c r="J5" s="142"/>
    </row>
    <row r="6" spans="1:10" ht="22.5" customHeight="1">
      <c r="A6" s="213" t="s">
        <v>161</v>
      </c>
      <c r="B6" s="213"/>
      <c r="C6" s="213"/>
      <c r="D6" s="213"/>
      <c r="E6" s="213"/>
      <c r="F6" s="213"/>
      <c r="G6" s="213"/>
      <c r="H6" s="213"/>
      <c r="I6" s="213"/>
      <c r="J6" s="143"/>
    </row>
    <row r="7" spans="1:10" ht="15.75">
      <c r="A7" s="127" t="s">
        <v>204</v>
      </c>
      <c r="B7" s="105"/>
      <c r="C7" s="105"/>
      <c r="D7" s="128"/>
      <c r="E7" s="129"/>
      <c r="F7" s="105"/>
      <c r="G7" s="212" t="s">
        <v>91</v>
      </c>
      <c r="H7" s="130" t="s">
        <v>277</v>
      </c>
      <c r="I7" s="131"/>
      <c r="J7" s="144"/>
    </row>
    <row r="8" spans="1:10" ht="15">
      <c r="A8" s="132"/>
      <c r="B8" s="106"/>
      <c r="C8" s="104"/>
      <c r="D8" s="133"/>
      <c r="E8" s="133"/>
      <c r="F8" s="134"/>
      <c r="G8" s="212"/>
      <c r="H8" s="135" t="s">
        <v>90</v>
      </c>
      <c r="I8" s="131"/>
      <c r="J8" s="144"/>
    </row>
    <row r="9" spans="1:10" ht="15">
      <c r="A9" s="124"/>
      <c r="B9" s="104"/>
      <c r="C9" s="104"/>
      <c r="D9" s="124"/>
      <c r="E9" s="124"/>
      <c r="F9" s="136"/>
      <c r="G9" s="137" t="s">
        <v>1</v>
      </c>
      <c r="H9" s="138">
        <v>0.2247</v>
      </c>
      <c r="I9" s="124"/>
      <c r="J9" s="145"/>
    </row>
    <row r="10" spans="1:10" ht="15.75" thickBot="1">
      <c r="A10" s="124"/>
      <c r="B10" s="104"/>
      <c r="C10" s="104"/>
      <c r="D10" s="124"/>
      <c r="E10" s="124"/>
      <c r="F10" s="136"/>
      <c r="G10" s="137" t="s">
        <v>0</v>
      </c>
      <c r="H10" s="139">
        <v>44743</v>
      </c>
      <c r="I10" s="124"/>
      <c r="J10" s="145"/>
    </row>
    <row r="11" spans="10:18" ht="15">
      <c r="J11" s="214" t="s">
        <v>199</v>
      </c>
      <c r="K11" s="215"/>
      <c r="L11" s="216"/>
      <c r="M11" s="214" t="s">
        <v>202</v>
      </c>
      <c r="N11" s="215"/>
      <c r="O11" s="216"/>
      <c r="P11" s="214" t="s">
        <v>203</v>
      </c>
      <c r="Q11" s="215"/>
      <c r="R11" s="216"/>
    </row>
    <row r="12" spans="1:18" ht="15">
      <c r="A12" s="140" t="s">
        <v>2</v>
      </c>
      <c r="B12" s="107" t="s">
        <v>3</v>
      </c>
      <c r="C12" s="107" t="s">
        <v>153</v>
      </c>
      <c r="D12" s="140" t="s">
        <v>4</v>
      </c>
      <c r="E12" s="140" t="s">
        <v>5</v>
      </c>
      <c r="F12" s="107" t="s">
        <v>6</v>
      </c>
      <c r="G12" s="140" t="s">
        <v>7</v>
      </c>
      <c r="H12" s="140" t="s">
        <v>8</v>
      </c>
      <c r="I12" s="140" t="s">
        <v>9</v>
      </c>
      <c r="J12" s="160" t="s">
        <v>17</v>
      </c>
      <c r="K12" s="107" t="s">
        <v>200</v>
      </c>
      <c r="L12" s="149" t="s">
        <v>201</v>
      </c>
      <c r="M12" s="148" t="s">
        <v>17</v>
      </c>
      <c r="N12" s="107" t="s">
        <v>200</v>
      </c>
      <c r="O12" s="149" t="s">
        <v>201</v>
      </c>
      <c r="P12" s="148" t="s">
        <v>17</v>
      </c>
      <c r="Q12" s="107" t="s">
        <v>200</v>
      </c>
      <c r="R12" s="149" t="s">
        <v>201</v>
      </c>
    </row>
    <row r="13" spans="1:18" ht="24" customHeight="1">
      <c r="A13" s="78" t="s">
        <v>171</v>
      </c>
      <c r="B13" s="79"/>
      <c r="C13" s="79"/>
      <c r="D13" s="80" t="s">
        <v>13</v>
      </c>
      <c r="E13" s="79"/>
      <c r="F13" s="81"/>
      <c r="G13" s="82"/>
      <c r="H13" s="82"/>
      <c r="I13" s="83">
        <f>SUM(I14:I20)</f>
        <v>4393.220644182</v>
      </c>
      <c r="J13" s="154"/>
      <c r="K13" s="154"/>
      <c r="L13" s="155"/>
      <c r="M13" s="153"/>
      <c r="N13" s="154"/>
      <c r="O13" s="155"/>
      <c r="P13" s="153"/>
      <c r="Q13" s="154"/>
      <c r="R13" s="155"/>
    </row>
    <row r="14" spans="1:19" ht="15">
      <c r="A14" s="8" t="s">
        <v>172</v>
      </c>
      <c r="B14" s="157" t="s">
        <v>163</v>
      </c>
      <c r="C14" s="28" t="s">
        <v>10</v>
      </c>
      <c r="D14" s="158" t="s">
        <v>162</v>
      </c>
      <c r="E14" s="29" t="s">
        <v>32</v>
      </c>
      <c r="F14" s="30">
        <f>MEMÓRIA!D3</f>
        <v>313.6</v>
      </c>
      <c r="G14" s="31">
        <v>4.1</v>
      </c>
      <c r="H14" s="32">
        <f>G14*(1+$H$9)</f>
        <v>5.0212699999999995</v>
      </c>
      <c r="I14" s="33">
        <f>H14*F14</f>
        <v>1574.6702719999998</v>
      </c>
      <c r="J14" s="161">
        <v>12.86</v>
      </c>
      <c r="K14" s="146">
        <f>J14*H14</f>
        <v>64.57353219999999</v>
      </c>
      <c r="L14" s="151">
        <f>I14-K14</f>
        <v>1510.0967397999998</v>
      </c>
      <c r="M14" s="150"/>
      <c r="N14" s="146">
        <f>M14*K14</f>
        <v>0</v>
      </c>
      <c r="O14" s="151">
        <f>I14-K14-N14</f>
        <v>1510.0967397999998</v>
      </c>
      <c r="P14" s="150"/>
      <c r="Q14" s="146">
        <f>P14*N14</f>
        <v>0</v>
      </c>
      <c r="R14" s="151">
        <f>L14-N14-Q14</f>
        <v>1510.0967397999998</v>
      </c>
      <c r="S14" s="166"/>
    </row>
    <row r="15" spans="1:18" ht="15">
      <c r="A15" s="8" t="s">
        <v>173</v>
      </c>
      <c r="B15" s="11" t="s">
        <v>206</v>
      </c>
      <c r="C15" s="11" t="s">
        <v>10</v>
      </c>
      <c r="D15" s="8" t="s">
        <v>205</v>
      </c>
      <c r="E15" s="11" t="s">
        <v>11</v>
      </c>
      <c r="F15" s="12">
        <f>MEMÓRIA!D4</f>
        <v>1.2800000000000002</v>
      </c>
      <c r="G15" s="13">
        <v>389.4</v>
      </c>
      <c r="H15" s="32">
        <f aca="true" t="shared" si="0" ref="H15:H20">G15*(1+$H$9)</f>
        <v>476.8981799999999</v>
      </c>
      <c r="I15" s="33">
        <f aca="true" t="shared" si="1" ref="I15:I20">H15*F15</f>
        <v>610.4296704</v>
      </c>
      <c r="J15" s="161">
        <v>77.55</v>
      </c>
      <c r="K15" s="146">
        <f>J15*H15</f>
        <v>36983.453858999994</v>
      </c>
      <c r="L15" s="151">
        <f aca="true" t="shared" si="2" ref="L15:L20">I15-K15</f>
        <v>-36373.02418859999</v>
      </c>
      <c r="M15" s="150"/>
      <c r="N15" s="146">
        <f>M15*K15</f>
        <v>0</v>
      </c>
      <c r="O15" s="151">
        <f aca="true" t="shared" si="3" ref="O15:O20">I15-K15-N15</f>
        <v>-36373.02418859999</v>
      </c>
      <c r="P15" s="150"/>
      <c r="Q15" s="146">
        <f>P15*N15</f>
        <v>0</v>
      </c>
      <c r="R15" s="151">
        <f aca="true" t="shared" si="4" ref="R15:R20">L15-N15-Q15</f>
        <v>-36373.02418859999</v>
      </c>
    </row>
    <row r="16" spans="1:18" ht="30">
      <c r="A16" s="27" t="s">
        <v>174</v>
      </c>
      <c r="B16" s="24" t="s">
        <v>33</v>
      </c>
      <c r="C16" s="24" t="s">
        <v>10</v>
      </c>
      <c r="D16" s="10" t="s">
        <v>15</v>
      </c>
      <c r="E16" s="11" t="s">
        <v>35</v>
      </c>
      <c r="F16" s="12">
        <f>MEMÓRIA!D5</f>
        <v>2.7195</v>
      </c>
      <c r="G16" s="13">
        <v>77.88</v>
      </c>
      <c r="H16" s="32">
        <f t="shared" si="0"/>
        <v>95.37963599999999</v>
      </c>
      <c r="I16" s="33">
        <f t="shared" si="1"/>
        <v>259.38492010199997</v>
      </c>
      <c r="J16" s="161">
        <v>32.46</v>
      </c>
      <c r="K16" s="146">
        <f aca="true" t="shared" si="5" ref="K16:K20">J16*H16</f>
        <v>3096.0229845599997</v>
      </c>
      <c r="L16" s="151">
        <f t="shared" si="2"/>
        <v>-2836.638064458</v>
      </c>
      <c r="M16" s="150"/>
      <c r="N16" s="146">
        <f aca="true" t="shared" si="6" ref="N16:N20">M16*K16</f>
        <v>0</v>
      </c>
      <c r="O16" s="151">
        <f t="shared" si="3"/>
        <v>-2836.638064458</v>
      </c>
      <c r="P16" s="150"/>
      <c r="Q16" s="146">
        <f aca="true" t="shared" si="7" ref="Q16:Q20">P16*N16</f>
        <v>0</v>
      </c>
      <c r="R16" s="151">
        <f t="shared" si="4"/>
        <v>-2836.638064458</v>
      </c>
    </row>
    <row r="17" spans="1:18" ht="30">
      <c r="A17" s="52" t="s">
        <v>175</v>
      </c>
      <c r="B17" s="24" t="s">
        <v>31</v>
      </c>
      <c r="C17" s="24" t="s">
        <v>10</v>
      </c>
      <c r="D17" s="10" t="s">
        <v>30</v>
      </c>
      <c r="E17" s="11" t="s">
        <v>12</v>
      </c>
      <c r="F17" s="12">
        <f>MEMÓRIA!D6</f>
        <v>20.4</v>
      </c>
      <c r="G17" s="13">
        <v>11.4</v>
      </c>
      <c r="H17" s="32">
        <f t="shared" si="0"/>
        <v>13.96158</v>
      </c>
      <c r="I17" s="33">
        <f t="shared" si="1"/>
        <v>284.81623199999996</v>
      </c>
      <c r="J17" s="161">
        <v>54.9</v>
      </c>
      <c r="K17" s="146">
        <f t="shared" si="5"/>
        <v>766.490742</v>
      </c>
      <c r="L17" s="151">
        <f t="shared" si="2"/>
        <v>-481.67451</v>
      </c>
      <c r="M17" s="150"/>
      <c r="N17" s="146">
        <f t="shared" si="6"/>
        <v>0</v>
      </c>
      <c r="O17" s="151">
        <f t="shared" si="3"/>
        <v>-481.67451</v>
      </c>
      <c r="P17" s="150"/>
      <c r="Q17" s="146">
        <f t="shared" si="7"/>
        <v>0</v>
      </c>
      <c r="R17" s="151">
        <f t="shared" si="4"/>
        <v>-481.67451</v>
      </c>
    </row>
    <row r="18" spans="1:18" ht="15">
      <c r="A18" s="52" t="s">
        <v>176</v>
      </c>
      <c r="B18" s="24" t="s">
        <v>19</v>
      </c>
      <c r="C18" s="24" t="s">
        <v>10</v>
      </c>
      <c r="D18" s="9" t="s">
        <v>18</v>
      </c>
      <c r="E18" s="11" t="s">
        <v>20</v>
      </c>
      <c r="F18" s="12">
        <f>MEMÓRIA!D7</f>
        <v>4</v>
      </c>
      <c r="G18" s="13">
        <v>19</v>
      </c>
      <c r="H18" s="32">
        <f t="shared" si="0"/>
        <v>23.269299999999998</v>
      </c>
      <c r="I18" s="33">
        <f t="shared" si="1"/>
        <v>93.07719999999999</v>
      </c>
      <c r="J18" s="161">
        <v>16</v>
      </c>
      <c r="K18" s="146">
        <f t="shared" si="5"/>
        <v>372.30879999999996</v>
      </c>
      <c r="L18" s="151">
        <f t="shared" si="2"/>
        <v>-279.23159999999996</v>
      </c>
      <c r="M18" s="150"/>
      <c r="N18" s="146">
        <f t="shared" si="6"/>
        <v>0</v>
      </c>
      <c r="O18" s="151">
        <f t="shared" si="3"/>
        <v>-279.23159999999996</v>
      </c>
      <c r="P18" s="150"/>
      <c r="Q18" s="146">
        <f t="shared" si="7"/>
        <v>0</v>
      </c>
      <c r="R18" s="151">
        <f t="shared" si="4"/>
        <v>-279.23159999999996</v>
      </c>
    </row>
    <row r="19" spans="1:18" ht="15">
      <c r="A19" s="52" t="s">
        <v>177</v>
      </c>
      <c r="B19" s="24" t="s">
        <v>214</v>
      </c>
      <c r="C19" s="24" t="s">
        <v>10</v>
      </c>
      <c r="D19" s="9" t="s">
        <v>14</v>
      </c>
      <c r="E19" s="11" t="s">
        <v>20</v>
      </c>
      <c r="F19" s="12">
        <f>MEMÓRIA!D8</f>
        <v>2.25</v>
      </c>
      <c r="G19" s="13">
        <v>11.68</v>
      </c>
      <c r="H19" s="32">
        <f t="shared" si="0"/>
        <v>14.304495999999999</v>
      </c>
      <c r="I19" s="33">
        <f aca="true" t="shared" si="8" ref="I19">H19*F19</f>
        <v>32.185115999999994</v>
      </c>
      <c r="J19" s="161"/>
      <c r="K19" s="146"/>
      <c r="L19" s="151"/>
      <c r="M19" s="150"/>
      <c r="N19" s="146"/>
      <c r="O19" s="151"/>
      <c r="P19" s="150"/>
      <c r="Q19" s="146"/>
      <c r="R19" s="151"/>
    </row>
    <row r="20" spans="1:18" ht="51.75" customHeight="1">
      <c r="A20" s="52" t="s">
        <v>178</v>
      </c>
      <c r="B20" s="24" t="s">
        <v>166</v>
      </c>
      <c r="C20" s="11" t="s">
        <v>10</v>
      </c>
      <c r="D20" s="10" t="s">
        <v>303</v>
      </c>
      <c r="E20" s="11" t="s">
        <v>35</v>
      </c>
      <c r="F20" s="12">
        <f>MEMÓRIA!D9</f>
        <v>10.582500000000001</v>
      </c>
      <c r="G20" s="13">
        <v>118.72</v>
      </c>
      <c r="H20" s="32">
        <f t="shared" si="0"/>
        <v>145.39638399999998</v>
      </c>
      <c r="I20" s="33">
        <f t="shared" si="1"/>
        <v>1538.65723368</v>
      </c>
      <c r="J20" s="161">
        <v>12.22</v>
      </c>
      <c r="K20" s="146">
        <f t="shared" si="5"/>
        <v>1776.7438124799999</v>
      </c>
      <c r="L20" s="151">
        <f t="shared" si="2"/>
        <v>-238.08657879999987</v>
      </c>
      <c r="M20" s="150"/>
      <c r="N20" s="146">
        <f t="shared" si="6"/>
        <v>0</v>
      </c>
      <c r="O20" s="151">
        <f t="shared" si="3"/>
        <v>-238.08657879999987</v>
      </c>
      <c r="P20" s="150"/>
      <c r="Q20" s="146">
        <f t="shared" si="7"/>
        <v>0</v>
      </c>
      <c r="R20" s="151">
        <f t="shared" si="4"/>
        <v>-238.08657879999987</v>
      </c>
    </row>
    <row r="21" spans="1:18" ht="24.75" customHeight="1">
      <c r="A21" s="84" t="s">
        <v>134</v>
      </c>
      <c r="B21" s="85"/>
      <c r="C21" s="85"/>
      <c r="D21" s="86" t="s">
        <v>218</v>
      </c>
      <c r="E21" s="87"/>
      <c r="F21" s="88"/>
      <c r="G21" s="89"/>
      <c r="H21" s="90"/>
      <c r="I21" s="91">
        <f>SUM(I22:I29)</f>
        <v>26569.47422859</v>
      </c>
      <c r="J21" s="154"/>
      <c r="K21" s="154"/>
      <c r="L21" s="155"/>
      <c r="M21" s="153"/>
      <c r="N21" s="154"/>
      <c r="O21" s="155"/>
      <c r="P21" s="153"/>
      <c r="Q21" s="154"/>
      <c r="R21" s="155"/>
    </row>
    <row r="22" spans="1:18" ht="30">
      <c r="A22" s="52" t="s">
        <v>23</v>
      </c>
      <c r="B22" s="62" t="s">
        <v>104</v>
      </c>
      <c r="C22" s="11" t="s">
        <v>10</v>
      </c>
      <c r="D22" s="53" t="s">
        <v>99</v>
      </c>
      <c r="E22" s="38" t="s">
        <v>35</v>
      </c>
      <c r="F22" s="63">
        <f>MEMÓRIA!D11</f>
        <v>2.037</v>
      </c>
      <c r="G22" s="64">
        <v>51.4</v>
      </c>
      <c r="H22" s="32">
        <f aca="true" t="shared" si="9" ref="H22:H28">G22*(1+$H$9)</f>
        <v>62.94957999999999</v>
      </c>
      <c r="I22" s="33">
        <f aca="true" t="shared" si="10" ref="I22:I28">H22*F22</f>
        <v>128.22829445999997</v>
      </c>
      <c r="J22" s="161"/>
      <c r="K22" s="6"/>
      <c r="L22" s="151">
        <f aca="true" t="shared" si="11" ref="L22:L28">I22-K22</f>
        <v>128.22829445999997</v>
      </c>
      <c r="M22" s="150"/>
      <c r="N22" s="6"/>
      <c r="O22" s="151">
        <f aca="true" t="shared" si="12" ref="O22:O28">I22-K22-N22</f>
        <v>128.22829445999997</v>
      </c>
      <c r="P22" s="150"/>
      <c r="Q22" s="146">
        <f aca="true" t="shared" si="13" ref="Q22:Q28">P22*H22</f>
        <v>0</v>
      </c>
      <c r="R22" s="151">
        <f aca="true" t="shared" si="14" ref="R22:R28">L22-N22-Q22</f>
        <v>128.22829445999997</v>
      </c>
    </row>
    <row r="23" spans="1:18" ht="15">
      <c r="A23" s="52" t="s">
        <v>24</v>
      </c>
      <c r="B23" s="38" t="s">
        <v>105</v>
      </c>
      <c r="C23" s="11" t="s">
        <v>10</v>
      </c>
      <c r="D23" s="40" t="s">
        <v>100</v>
      </c>
      <c r="E23" s="38" t="s">
        <v>35</v>
      </c>
      <c r="F23" s="63">
        <f>MEMÓRIA!D12</f>
        <v>2.037</v>
      </c>
      <c r="G23" s="64">
        <v>366.33</v>
      </c>
      <c r="H23" s="32">
        <f t="shared" si="9"/>
        <v>448.644351</v>
      </c>
      <c r="I23" s="33">
        <f t="shared" si="10"/>
        <v>913.8885429869999</v>
      </c>
      <c r="J23" s="161"/>
      <c r="K23" s="6"/>
      <c r="L23" s="151">
        <f t="shared" si="11"/>
        <v>913.8885429869999</v>
      </c>
      <c r="M23" s="150"/>
      <c r="N23" s="6"/>
      <c r="O23" s="151">
        <f t="shared" si="12"/>
        <v>913.8885429869999</v>
      </c>
      <c r="P23" s="150"/>
      <c r="Q23" s="146">
        <f t="shared" si="13"/>
        <v>0</v>
      </c>
      <c r="R23" s="151">
        <f t="shared" si="14"/>
        <v>913.8885429869999</v>
      </c>
    </row>
    <row r="24" spans="1:18" ht="30">
      <c r="A24" s="52" t="s">
        <v>25</v>
      </c>
      <c r="B24" s="62" t="s">
        <v>106</v>
      </c>
      <c r="C24" s="11" t="s">
        <v>10</v>
      </c>
      <c r="D24" s="53" t="s">
        <v>101</v>
      </c>
      <c r="E24" s="38" t="s">
        <v>35</v>
      </c>
      <c r="F24" s="63">
        <f>MEMÓRIA!D13</f>
        <v>2.037</v>
      </c>
      <c r="G24" s="64">
        <v>144.5</v>
      </c>
      <c r="H24" s="32">
        <f t="shared" si="9"/>
        <v>176.96914999999998</v>
      </c>
      <c r="I24" s="33">
        <f t="shared" si="10"/>
        <v>360.48615854999997</v>
      </c>
      <c r="J24" s="161"/>
      <c r="K24" s="6"/>
      <c r="L24" s="151">
        <f t="shared" si="11"/>
        <v>360.48615854999997</v>
      </c>
      <c r="M24" s="150"/>
      <c r="N24" s="6"/>
      <c r="O24" s="151">
        <f t="shared" si="12"/>
        <v>360.48615854999997</v>
      </c>
      <c r="P24" s="150"/>
      <c r="Q24" s="146">
        <f t="shared" si="13"/>
        <v>0</v>
      </c>
      <c r="R24" s="151">
        <f t="shared" si="14"/>
        <v>360.48615854999997</v>
      </c>
    </row>
    <row r="25" spans="1:18" ht="15">
      <c r="A25" s="52" t="s">
        <v>26</v>
      </c>
      <c r="B25" s="38" t="s">
        <v>107</v>
      </c>
      <c r="C25" s="11" t="s">
        <v>10</v>
      </c>
      <c r="D25" s="40" t="s">
        <v>102</v>
      </c>
      <c r="E25" s="38" t="s">
        <v>32</v>
      </c>
      <c r="F25" s="63">
        <f>MEMÓRIA!D14</f>
        <v>20.37</v>
      </c>
      <c r="G25" s="64">
        <v>84.78</v>
      </c>
      <c r="H25" s="32">
        <f t="shared" si="9"/>
        <v>103.83006599999999</v>
      </c>
      <c r="I25" s="33">
        <f t="shared" si="10"/>
        <v>2115.01844442</v>
      </c>
      <c r="J25" s="161"/>
      <c r="K25" s="6"/>
      <c r="L25" s="151">
        <f t="shared" si="11"/>
        <v>2115.01844442</v>
      </c>
      <c r="M25" s="150"/>
      <c r="N25" s="6"/>
      <c r="O25" s="151">
        <f t="shared" si="12"/>
        <v>2115.01844442</v>
      </c>
      <c r="P25" s="150"/>
      <c r="Q25" s="146">
        <f t="shared" si="13"/>
        <v>0</v>
      </c>
      <c r="R25" s="151">
        <f t="shared" si="14"/>
        <v>2115.01844442</v>
      </c>
    </row>
    <row r="26" spans="1:18" ht="15">
      <c r="A26" s="52" t="s">
        <v>27</v>
      </c>
      <c r="B26" s="38" t="s">
        <v>108</v>
      </c>
      <c r="C26" s="11" t="s">
        <v>10</v>
      </c>
      <c r="D26" s="40" t="s">
        <v>103</v>
      </c>
      <c r="E26" s="38" t="s">
        <v>22</v>
      </c>
      <c r="F26" s="63">
        <f>MEMÓRIA!D15</f>
        <v>162.95999999999998</v>
      </c>
      <c r="G26" s="64">
        <v>10.2</v>
      </c>
      <c r="H26" s="32">
        <f t="shared" si="9"/>
        <v>12.491939999999998</v>
      </c>
      <c r="I26" s="33">
        <f t="shared" si="10"/>
        <v>2035.6865423999993</v>
      </c>
      <c r="J26" s="161"/>
      <c r="K26" s="6"/>
      <c r="L26" s="151">
        <f t="shared" si="11"/>
        <v>2035.6865423999993</v>
      </c>
      <c r="M26" s="150"/>
      <c r="N26" s="6"/>
      <c r="O26" s="151">
        <f t="shared" si="12"/>
        <v>2035.6865423999993</v>
      </c>
      <c r="P26" s="150"/>
      <c r="Q26" s="146">
        <f t="shared" si="13"/>
        <v>0</v>
      </c>
      <c r="R26" s="151">
        <f t="shared" si="14"/>
        <v>2035.6865423999993</v>
      </c>
    </row>
    <row r="27" spans="1:18" ht="15">
      <c r="A27" s="52" t="s">
        <v>28</v>
      </c>
      <c r="B27" s="38" t="str">
        <f>'[2]desonerado-181'!$A$669</f>
        <v>12.01.021</v>
      </c>
      <c r="C27" s="11" t="s">
        <v>10</v>
      </c>
      <c r="D27" s="40" t="str">
        <f>'[2]desonerado-181'!$B$669</f>
        <v>Broca em concreto armado diâmetro de 20 cm - completa</v>
      </c>
      <c r="E27" s="38" t="s">
        <v>12</v>
      </c>
      <c r="F27" s="63">
        <f>MEMÓRIA!D16</f>
        <v>54</v>
      </c>
      <c r="G27" s="64">
        <v>54.93</v>
      </c>
      <c r="H27" s="32">
        <f t="shared" si="9"/>
        <v>67.27277099999999</v>
      </c>
      <c r="I27" s="33">
        <f t="shared" si="10"/>
        <v>3632.7296339999994</v>
      </c>
      <c r="J27" s="161"/>
      <c r="K27" s="6"/>
      <c r="L27" s="151">
        <f t="shared" si="11"/>
        <v>3632.7296339999994</v>
      </c>
      <c r="M27" s="150"/>
      <c r="N27" s="6"/>
      <c r="O27" s="151">
        <f t="shared" si="12"/>
        <v>3632.7296339999994</v>
      </c>
      <c r="P27" s="150"/>
      <c r="Q27" s="146">
        <f t="shared" si="13"/>
        <v>0</v>
      </c>
      <c r="R27" s="151">
        <f t="shared" si="14"/>
        <v>3632.7296339999994</v>
      </c>
    </row>
    <row r="28" spans="1:18" ht="30">
      <c r="A28" s="52" t="s">
        <v>29</v>
      </c>
      <c r="B28" s="24" t="s">
        <v>110</v>
      </c>
      <c r="C28" s="11" t="s">
        <v>10</v>
      </c>
      <c r="D28" s="10" t="s">
        <v>300</v>
      </c>
      <c r="E28" s="38" t="s">
        <v>35</v>
      </c>
      <c r="F28" s="63">
        <f>MEMÓRIA!D17</f>
        <v>2.5770000000000004</v>
      </c>
      <c r="G28" s="64">
        <v>1555.17</v>
      </c>
      <c r="H28" s="32">
        <f t="shared" si="9"/>
        <v>1904.616699</v>
      </c>
      <c r="I28" s="33">
        <f t="shared" si="10"/>
        <v>4908.197233323001</v>
      </c>
      <c r="J28" s="161"/>
      <c r="K28" s="6"/>
      <c r="L28" s="151">
        <f t="shared" si="11"/>
        <v>4908.197233323001</v>
      </c>
      <c r="M28" s="150">
        <v>1.19</v>
      </c>
      <c r="N28" s="146">
        <f>M28*H28</f>
        <v>2266.4938718099997</v>
      </c>
      <c r="O28" s="151">
        <f t="shared" si="12"/>
        <v>2641.703361513001</v>
      </c>
      <c r="P28" s="150"/>
      <c r="Q28" s="146">
        <f t="shared" si="13"/>
        <v>0</v>
      </c>
      <c r="R28" s="151">
        <f t="shared" si="14"/>
        <v>2641.703361513001</v>
      </c>
    </row>
    <row r="29" spans="1:18" ht="30">
      <c r="A29" s="52" t="s">
        <v>152</v>
      </c>
      <c r="B29" s="24" t="s">
        <v>110</v>
      </c>
      <c r="C29" s="11" t="s">
        <v>10</v>
      </c>
      <c r="D29" s="10" t="s">
        <v>301</v>
      </c>
      <c r="E29" s="38" t="s">
        <v>35</v>
      </c>
      <c r="F29" s="63">
        <f>MEMÓRIA!D18</f>
        <v>6.55</v>
      </c>
      <c r="G29" s="64">
        <v>1555.17</v>
      </c>
      <c r="H29" s="32">
        <f aca="true" t="shared" si="15" ref="H29">G29*(1+$H$9)</f>
        <v>1904.616699</v>
      </c>
      <c r="I29" s="33">
        <f>H29*F29</f>
        <v>12475.23937845</v>
      </c>
      <c r="J29" s="176"/>
      <c r="K29" s="176"/>
      <c r="L29" s="177"/>
      <c r="M29" s="178"/>
      <c r="N29" s="179"/>
      <c r="O29" s="177"/>
      <c r="P29" s="178"/>
      <c r="Q29" s="179"/>
      <c r="R29" s="177"/>
    </row>
    <row r="30" spans="1:18" ht="24" customHeight="1">
      <c r="A30" s="84" t="s">
        <v>36</v>
      </c>
      <c r="B30" s="85"/>
      <c r="C30" s="85"/>
      <c r="D30" s="86" t="s">
        <v>50</v>
      </c>
      <c r="E30" s="87"/>
      <c r="F30" s="88"/>
      <c r="G30" s="89"/>
      <c r="H30" s="90"/>
      <c r="I30" s="91">
        <f>SUM(I31:I34)</f>
        <v>68134.79024028499</v>
      </c>
      <c r="J30" s="154"/>
      <c r="K30" s="154"/>
      <c r="L30" s="155"/>
      <c r="M30" s="153"/>
      <c r="N30" s="154"/>
      <c r="O30" s="155"/>
      <c r="P30" s="153"/>
      <c r="Q30" s="154"/>
      <c r="R30" s="155"/>
    </row>
    <row r="31" spans="1:18" ht="30">
      <c r="A31" s="8" t="s">
        <v>37</v>
      </c>
      <c r="B31" s="24" t="s">
        <v>55</v>
      </c>
      <c r="C31" s="24" t="s">
        <v>10</v>
      </c>
      <c r="D31" s="10" t="s">
        <v>54</v>
      </c>
      <c r="E31" s="11" t="s">
        <v>32</v>
      </c>
      <c r="F31" s="12">
        <f>MEMÓRIA!D20</f>
        <v>25.349999999999998</v>
      </c>
      <c r="G31" s="13">
        <v>67.45</v>
      </c>
      <c r="H31" s="32">
        <f aca="true" t="shared" si="16" ref="H31:H34">G31*(1+$H$9)</f>
        <v>82.606015</v>
      </c>
      <c r="I31" s="33">
        <f aca="true" t="shared" si="17" ref="I31:I34">H31*F31</f>
        <v>2094.0624802499997</v>
      </c>
      <c r="J31" s="161"/>
      <c r="K31" s="6"/>
      <c r="L31" s="151">
        <f aca="true" t="shared" si="18" ref="L31:L34">I31-K31</f>
        <v>2094.0624802499997</v>
      </c>
      <c r="M31" s="150">
        <v>86.62</v>
      </c>
      <c r="N31" s="146">
        <f>M31*H31</f>
        <v>7155.3330193</v>
      </c>
      <c r="O31" s="151">
        <f aca="true" t="shared" si="19" ref="O31:O34">I31-K31-N31</f>
        <v>-5061.2705390500005</v>
      </c>
      <c r="P31" s="150"/>
      <c r="Q31" s="146">
        <f aca="true" t="shared" si="20" ref="Q31:Q34">P31*H31</f>
        <v>0</v>
      </c>
      <c r="R31" s="151">
        <f>I31-L31-O31</f>
        <v>5061.2705390500005</v>
      </c>
    </row>
    <row r="32" spans="1:18" ht="15" customHeight="1">
      <c r="A32" s="27" t="s">
        <v>43</v>
      </c>
      <c r="B32" s="157" t="s">
        <v>223</v>
      </c>
      <c r="C32" s="28" t="s">
        <v>10</v>
      </c>
      <c r="D32" s="159" t="s">
        <v>222</v>
      </c>
      <c r="E32" s="29" t="s">
        <v>32</v>
      </c>
      <c r="F32" s="30">
        <f>MEMÓRIA!D21</f>
        <v>87.3</v>
      </c>
      <c r="G32" s="31">
        <v>196.57</v>
      </c>
      <c r="H32" s="32">
        <f t="shared" si="16"/>
        <v>240.73927899999998</v>
      </c>
      <c r="I32" s="33">
        <f aca="true" t="shared" si="21" ref="I32:I33">H32*F32</f>
        <v>21016.5390567</v>
      </c>
      <c r="J32" s="161"/>
      <c r="K32" s="6"/>
      <c r="L32" s="151"/>
      <c r="M32" s="150"/>
      <c r="N32" s="146"/>
      <c r="O32" s="151"/>
      <c r="P32" s="150"/>
      <c r="Q32" s="146"/>
      <c r="R32" s="151"/>
    </row>
    <row r="33" spans="1:18" ht="60">
      <c r="A33" s="8" t="s">
        <v>154</v>
      </c>
      <c r="B33" s="24">
        <v>103338</v>
      </c>
      <c r="C33" s="24" t="s">
        <v>221</v>
      </c>
      <c r="D33" s="10" t="s">
        <v>220</v>
      </c>
      <c r="E33" s="11" t="s">
        <v>32</v>
      </c>
      <c r="F33" s="12">
        <f>MEMÓRIA!D22</f>
        <v>245.77249999999998</v>
      </c>
      <c r="G33" s="13">
        <v>113.14</v>
      </c>
      <c r="H33" s="14">
        <f t="shared" si="16"/>
        <v>138.562558</v>
      </c>
      <c r="I33" s="15">
        <f t="shared" si="21"/>
        <v>34054.866286054996</v>
      </c>
      <c r="J33" s="161"/>
      <c r="K33" s="6"/>
      <c r="L33" s="151"/>
      <c r="M33" s="150"/>
      <c r="N33" s="146"/>
      <c r="O33" s="151"/>
      <c r="P33" s="150"/>
      <c r="Q33" s="146"/>
      <c r="R33" s="151"/>
    </row>
    <row r="34" spans="1:18" ht="15">
      <c r="A34" s="108" t="s">
        <v>230</v>
      </c>
      <c r="B34" s="157" t="s">
        <v>213</v>
      </c>
      <c r="C34" s="168" t="s">
        <v>10</v>
      </c>
      <c r="D34" s="159" t="s">
        <v>212</v>
      </c>
      <c r="E34" s="169" t="s">
        <v>32</v>
      </c>
      <c r="F34" s="170">
        <f>MEMÓRIA!D23</f>
        <v>8.64</v>
      </c>
      <c r="G34" s="171">
        <v>1036.66</v>
      </c>
      <c r="H34" s="172">
        <f t="shared" si="16"/>
        <v>1269.597502</v>
      </c>
      <c r="I34" s="173">
        <f t="shared" si="17"/>
        <v>10969.322417280002</v>
      </c>
      <c r="J34" s="161"/>
      <c r="K34" s="6"/>
      <c r="L34" s="151">
        <f t="shared" si="18"/>
        <v>10969.322417280002</v>
      </c>
      <c r="M34" s="150"/>
      <c r="N34" s="6"/>
      <c r="O34" s="151">
        <f t="shared" si="19"/>
        <v>10969.322417280002</v>
      </c>
      <c r="P34" s="150"/>
      <c r="Q34" s="146">
        <f t="shared" si="20"/>
        <v>0</v>
      </c>
      <c r="R34" s="151">
        <f aca="true" t="shared" si="22" ref="R34">L34-N34-Q34</f>
        <v>10969.322417280002</v>
      </c>
    </row>
    <row r="35" spans="1:18" ht="15">
      <c r="A35" s="92" t="s">
        <v>51</v>
      </c>
      <c r="B35" s="93"/>
      <c r="C35" s="93"/>
      <c r="D35" s="94" t="s">
        <v>170</v>
      </c>
      <c r="E35" s="95"/>
      <c r="F35" s="96"/>
      <c r="G35" s="97"/>
      <c r="H35" s="98"/>
      <c r="I35" s="99">
        <f>SUM(I36:I40)</f>
        <v>4292.806707373999</v>
      </c>
      <c r="J35" s="154"/>
      <c r="K35" s="154"/>
      <c r="L35" s="155"/>
      <c r="M35" s="153"/>
      <c r="N35" s="154"/>
      <c r="O35" s="155"/>
      <c r="P35" s="153"/>
      <c r="Q35" s="154"/>
      <c r="R35" s="155"/>
    </row>
    <row r="36" spans="1:18" ht="60">
      <c r="A36" s="8" t="s">
        <v>52</v>
      </c>
      <c r="B36" s="24" t="s">
        <v>40</v>
      </c>
      <c r="C36" s="24" t="s">
        <v>10</v>
      </c>
      <c r="D36" s="10" t="s">
        <v>39</v>
      </c>
      <c r="E36" s="11" t="s">
        <v>32</v>
      </c>
      <c r="F36" s="12">
        <f>MEMÓRIA!D25</f>
        <v>3.3</v>
      </c>
      <c r="G36" s="13">
        <v>133.28</v>
      </c>
      <c r="H36" s="32">
        <f aca="true" t="shared" si="23" ref="H36:H39">G36*(1+$H$9)</f>
        <v>163.228016</v>
      </c>
      <c r="I36" s="33">
        <f aca="true" t="shared" si="24" ref="I36:I39">H36*F36</f>
        <v>538.6524528</v>
      </c>
      <c r="J36" s="161"/>
      <c r="K36" s="6"/>
      <c r="L36" s="151">
        <f aca="true" t="shared" si="25" ref="L36:L41">I36-K36</f>
        <v>538.6524528</v>
      </c>
      <c r="M36" s="150"/>
      <c r="N36" s="6"/>
      <c r="O36" s="151">
        <f aca="true" t="shared" si="26" ref="O36:O41">I36-K36-N36</f>
        <v>538.6524528</v>
      </c>
      <c r="P36" s="150">
        <v>165.2</v>
      </c>
      <c r="Q36" s="146">
        <f>P36*H36</f>
        <v>26965.268243199997</v>
      </c>
      <c r="R36" s="151">
        <f aca="true" t="shared" si="27" ref="R36:R39">L36-N36-Q36</f>
        <v>-26426.615790399996</v>
      </c>
    </row>
    <row r="37" spans="1:18" ht="30">
      <c r="A37" s="60" t="s">
        <v>53</v>
      </c>
      <c r="B37" s="157" t="s">
        <v>92</v>
      </c>
      <c r="C37" s="28" t="s">
        <v>10</v>
      </c>
      <c r="D37" s="159" t="s">
        <v>93</v>
      </c>
      <c r="E37" s="29" t="s">
        <v>12</v>
      </c>
      <c r="F37" s="30">
        <f>MEMÓRIA!D26</f>
        <v>6.7</v>
      </c>
      <c r="G37" s="61">
        <v>128.21</v>
      </c>
      <c r="H37" s="32">
        <f t="shared" si="23"/>
        <v>157.018787</v>
      </c>
      <c r="I37" s="33">
        <f t="shared" si="24"/>
        <v>1052.0258729</v>
      </c>
      <c r="J37" s="161"/>
      <c r="K37" s="6"/>
      <c r="L37" s="151">
        <f t="shared" si="25"/>
        <v>1052.0258729</v>
      </c>
      <c r="M37" s="150"/>
      <c r="N37" s="6"/>
      <c r="O37" s="151">
        <f t="shared" si="26"/>
        <v>1052.0258729</v>
      </c>
      <c r="P37" s="150"/>
      <c r="Q37" s="146">
        <f aca="true" t="shared" si="28" ref="Q37:Q39">P37*H37</f>
        <v>0</v>
      </c>
      <c r="R37" s="151">
        <f t="shared" si="27"/>
        <v>1052.0258729</v>
      </c>
    </row>
    <row r="38" spans="1:18" ht="15">
      <c r="A38" s="36" t="s">
        <v>168</v>
      </c>
      <c r="B38" s="24" t="s">
        <v>136</v>
      </c>
      <c r="C38" s="24" t="s">
        <v>10</v>
      </c>
      <c r="D38" s="9" t="s">
        <v>135</v>
      </c>
      <c r="E38" s="11" t="s">
        <v>35</v>
      </c>
      <c r="F38" s="12">
        <f>MEMÓRIA!D27</f>
        <v>2.338</v>
      </c>
      <c r="G38" s="37">
        <v>723.47</v>
      </c>
      <c r="H38" s="32">
        <f t="shared" si="23"/>
        <v>886.0337089999999</v>
      </c>
      <c r="I38" s="33">
        <f t="shared" si="24"/>
        <v>2071.5468116419997</v>
      </c>
      <c r="J38" s="161"/>
      <c r="K38" s="6"/>
      <c r="L38" s="151">
        <f t="shared" si="25"/>
        <v>2071.5468116419997</v>
      </c>
      <c r="M38" s="150"/>
      <c r="N38" s="6"/>
      <c r="O38" s="151">
        <f t="shared" si="26"/>
        <v>2071.5468116419997</v>
      </c>
      <c r="P38" s="150"/>
      <c r="Q38" s="146">
        <f t="shared" si="28"/>
        <v>0</v>
      </c>
      <c r="R38" s="151">
        <f t="shared" si="27"/>
        <v>2071.5468116419997</v>
      </c>
    </row>
    <row r="39" spans="1:18" ht="15">
      <c r="A39" s="36" t="s">
        <v>179</v>
      </c>
      <c r="B39" s="24" t="s">
        <v>165</v>
      </c>
      <c r="C39" s="24" t="s">
        <v>10</v>
      </c>
      <c r="D39" s="9" t="s">
        <v>164</v>
      </c>
      <c r="E39" s="11" t="s">
        <v>35</v>
      </c>
      <c r="F39" s="12">
        <f>MEMÓRIA!D28</f>
        <v>0.231</v>
      </c>
      <c r="G39" s="37">
        <v>576.26</v>
      </c>
      <c r="H39" s="32">
        <f t="shared" si="23"/>
        <v>705.7456219999999</v>
      </c>
      <c r="I39" s="33">
        <f t="shared" si="24"/>
        <v>163.027238682</v>
      </c>
      <c r="J39" s="161"/>
      <c r="K39" s="6"/>
      <c r="L39" s="151">
        <f t="shared" si="25"/>
        <v>163.027238682</v>
      </c>
      <c r="M39" s="150"/>
      <c r="N39" s="6"/>
      <c r="O39" s="151">
        <f t="shared" si="26"/>
        <v>163.027238682</v>
      </c>
      <c r="P39" s="150"/>
      <c r="Q39" s="146">
        <f t="shared" si="28"/>
        <v>0</v>
      </c>
      <c r="R39" s="151">
        <f t="shared" si="27"/>
        <v>163.027238682</v>
      </c>
    </row>
    <row r="40" spans="1:18" ht="15">
      <c r="A40" s="36" t="s">
        <v>180</v>
      </c>
      <c r="B40" s="24" t="s">
        <v>305</v>
      </c>
      <c r="C40" s="24" t="s">
        <v>10</v>
      </c>
      <c r="D40" s="200" t="s">
        <v>304</v>
      </c>
      <c r="E40" s="11" t="s">
        <v>32</v>
      </c>
      <c r="F40" s="12">
        <f>MEMÓRIA!D29</f>
        <v>11.65</v>
      </c>
      <c r="G40" s="37">
        <v>32.77</v>
      </c>
      <c r="H40" s="32">
        <f aca="true" t="shared" si="29" ref="H40">G40*(1+$H$9)</f>
        <v>40.133419</v>
      </c>
      <c r="I40" s="33">
        <f aca="true" t="shared" si="30" ref="I40">H40*F40</f>
        <v>467.55433135000004</v>
      </c>
      <c r="J40" s="176"/>
      <c r="K40" s="176"/>
      <c r="L40" s="177"/>
      <c r="M40" s="178"/>
      <c r="N40" s="176"/>
      <c r="O40" s="177"/>
      <c r="P40" s="178"/>
      <c r="Q40" s="179"/>
      <c r="R40" s="177"/>
    </row>
    <row r="41" spans="1:18" ht="15">
      <c r="A41" s="92" t="s">
        <v>56</v>
      </c>
      <c r="B41" s="93"/>
      <c r="C41" s="93"/>
      <c r="D41" s="94" t="s">
        <v>169</v>
      </c>
      <c r="E41" s="95"/>
      <c r="F41" s="96"/>
      <c r="G41" s="97"/>
      <c r="H41" s="98"/>
      <c r="I41" s="99">
        <f>SUM(I42:I45)</f>
        <v>9687.37504048</v>
      </c>
      <c r="J41" s="154"/>
      <c r="K41" s="154"/>
      <c r="L41" s="155">
        <f t="shared" si="25"/>
        <v>9687.37504048</v>
      </c>
      <c r="M41" s="153"/>
      <c r="N41" s="154"/>
      <c r="O41" s="155">
        <f t="shared" si="26"/>
        <v>9687.37504048</v>
      </c>
      <c r="P41" s="153"/>
      <c r="Q41" s="154"/>
      <c r="R41" s="155"/>
    </row>
    <row r="42" spans="1:18" ht="15">
      <c r="A42" s="8" t="s">
        <v>58</v>
      </c>
      <c r="B42" s="24" t="s">
        <v>48</v>
      </c>
      <c r="C42" s="24" t="s">
        <v>10</v>
      </c>
      <c r="D42" s="9" t="s">
        <v>46</v>
      </c>
      <c r="E42" s="11" t="s">
        <v>32</v>
      </c>
      <c r="F42" s="12">
        <f>MEMÓRIA!D31</f>
        <v>53.66</v>
      </c>
      <c r="G42" s="13">
        <v>5.87</v>
      </c>
      <c r="H42" s="32">
        <f aca="true" t="shared" si="31" ref="H42:H45">G42*(1+$H$9)</f>
        <v>7.188988999999999</v>
      </c>
      <c r="I42" s="33">
        <f aca="true" t="shared" si="32" ref="I42:I45">H42*F42</f>
        <v>385.76114973999995</v>
      </c>
      <c r="J42" s="161"/>
      <c r="K42" s="6"/>
      <c r="L42" s="151">
        <f aca="true" t="shared" si="33" ref="L42:L45">I42-K42</f>
        <v>385.76114973999995</v>
      </c>
      <c r="M42" s="150">
        <v>173.24</v>
      </c>
      <c r="N42" s="146">
        <f aca="true" t="shared" si="34" ref="N42:N45">M42*H42</f>
        <v>1245.42045436</v>
      </c>
      <c r="O42" s="151">
        <f aca="true" t="shared" si="35" ref="O42:O45">I42-K42-N42</f>
        <v>-859.65930462</v>
      </c>
      <c r="P42" s="150"/>
      <c r="Q42" s="146">
        <f aca="true" t="shared" si="36" ref="Q42:Q45">P42*K42</f>
        <v>0</v>
      </c>
      <c r="R42" s="151">
        <f aca="true" t="shared" si="37" ref="R42:R45">L42-N42-Q42</f>
        <v>-859.65930462</v>
      </c>
    </row>
    <row r="43" spans="1:18" ht="15">
      <c r="A43" s="8" t="s">
        <v>59</v>
      </c>
      <c r="B43" s="24" t="s">
        <v>45</v>
      </c>
      <c r="C43" s="24" t="s">
        <v>10</v>
      </c>
      <c r="D43" s="9" t="s">
        <v>44</v>
      </c>
      <c r="E43" s="11" t="s">
        <v>32</v>
      </c>
      <c r="F43" s="12">
        <f>MEMÓRIA!D32</f>
        <v>53.66</v>
      </c>
      <c r="G43" s="13">
        <v>18.26</v>
      </c>
      <c r="H43" s="32">
        <f t="shared" si="31"/>
        <v>22.363022</v>
      </c>
      <c r="I43" s="33">
        <f t="shared" si="32"/>
        <v>1199.9997605199999</v>
      </c>
      <c r="J43" s="161"/>
      <c r="K43" s="6"/>
      <c r="L43" s="151">
        <f t="shared" si="33"/>
        <v>1199.9997605199999</v>
      </c>
      <c r="M43" s="150">
        <v>173.24</v>
      </c>
      <c r="N43" s="146">
        <f t="shared" si="34"/>
        <v>3874.16993128</v>
      </c>
      <c r="O43" s="151">
        <f t="shared" si="35"/>
        <v>-2674.1701707600005</v>
      </c>
      <c r="P43" s="150"/>
      <c r="Q43" s="146">
        <f t="shared" si="36"/>
        <v>0</v>
      </c>
      <c r="R43" s="151">
        <f t="shared" si="37"/>
        <v>-2674.1701707600005</v>
      </c>
    </row>
    <row r="44" spans="1:18" ht="15">
      <c r="A44" s="8" t="s">
        <v>181</v>
      </c>
      <c r="B44" s="24" t="s">
        <v>49</v>
      </c>
      <c r="C44" s="24" t="s">
        <v>10</v>
      </c>
      <c r="D44" s="9" t="s">
        <v>47</v>
      </c>
      <c r="E44" s="11" t="s">
        <v>32</v>
      </c>
      <c r="F44" s="12">
        <f>MEMÓRIA!D33</f>
        <v>17.740000000000002</v>
      </c>
      <c r="G44" s="13">
        <v>10.99</v>
      </c>
      <c r="H44" s="32">
        <f t="shared" si="31"/>
        <v>13.459453</v>
      </c>
      <c r="I44" s="33">
        <f t="shared" si="32"/>
        <v>238.77069622000002</v>
      </c>
      <c r="J44" s="161"/>
      <c r="K44" s="6"/>
      <c r="L44" s="151">
        <f t="shared" si="33"/>
        <v>238.77069622000002</v>
      </c>
      <c r="M44" s="150">
        <v>160.02</v>
      </c>
      <c r="N44" s="146">
        <f t="shared" si="34"/>
        <v>2153.7816690600002</v>
      </c>
      <c r="O44" s="151">
        <f t="shared" si="35"/>
        <v>-1915.0109728400002</v>
      </c>
      <c r="P44" s="150"/>
      <c r="Q44" s="146">
        <f t="shared" si="36"/>
        <v>0</v>
      </c>
      <c r="R44" s="151">
        <f t="shared" si="37"/>
        <v>-1915.0109728400002</v>
      </c>
    </row>
    <row r="45" spans="1:18" ht="45">
      <c r="A45" s="8" t="s">
        <v>182</v>
      </c>
      <c r="B45" s="24" t="s">
        <v>233</v>
      </c>
      <c r="C45" s="24" t="s">
        <v>10</v>
      </c>
      <c r="D45" s="159" t="s">
        <v>232</v>
      </c>
      <c r="E45" s="11" t="s">
        <v>32</v>
      </c>
      <c r="F45" s="12">
        <f>MEMÓRIA!D34</f>
        <v>78.2</v>
      </c>
      <c r="G45" s="13">
        <v>82.1</v>
      </c>
      <c r="H45" s="32">
        <f t="shared" si="31"/>
        <v>100.54786999999999</v>
      </c>
      <c r="I45" s="33">
        <f t="shared" si="32"/>
        <v>7862.843433999999</v>
      </c>
      <c r="J45" s="161"/>
      <c r="K45" s="6"/>
      <c r="L45" s="151">
        <f t="shared" si="33"/>
        <v>7862.843433999999</v>
      </c>
      <c r="M45" s="150">
        <v>130.07</v>
      </c>
      <c r="N45" s="146">
        <f t="shared" si="34"/>
        <v>13078.261450899998</v>
      </c>
      <c r="O45" s="151">
        <f t="shared" si="35"/>
        <v>-5215.418016899998</v>
      </c>
      <c r="P45" s="150"/>
      <c r="Q45" s="146">
        <f t="shared" si="36"/>
        <v>0</v>
      </c>
      <c r="R45" s="151">
        <f t="shared" si="37"/>
        <v>-5215.418016899998</v>
      </c>
    </row>
    <row r="46" spans="1:18" ht="21" customHeight="1">
      <c r="A46" s="92" t="s">
        <v>60</v>
      </c>
      <c r="B46" s="93"/>
      <c r="C46" s="93"/>
      <c r="D46" s="94" t="s">
        <v>57</v>
      </c>
      <c r="E46" s="95"/>
      <c r="F46" s="96"/>
      <c r="G46" s="97"/>
      <c r="H46" s="98"/>
      <c r="I46" s="99">
        <f>SUM(I47:I49)</f>
        <v>9173.81436375</v>
      </c>
      <c r="J46" s="154"/>
      <c r="K46" s="154"/>
      <c r="L46" s="155"/>
      <c r="M46" s="153"/>
      <c r="N46" s="154"/>
      <c r="O46" s="155"/>
      <c r="P46" s="153"/>
      <c r="Q46" s="154"/>
      <c r="R46" s="155"/>
    </row>
    <row r="47" spans="1:18" ht="15">
      <c r="A47" s="8" t="s">
        <v>61</v>
      </c>
      <c r="B47" s="24" t="s">
        <v>138</v>
      </c>
      <c r="C47" s="24" t="s">
        <v>10</v>
      </c>
      <c r="D47" s="9" t="s">
        <v>137</v>
      </c>
      <c r="E47" s="11" t="s">
        <v>16</v>
      </c>
      <c r="F47" s="12">
        <f>MEMÓRIA!D36</f>
        <v>1</v>
      </c>
      <c r="G47" s="13">
        <v>434.76</v>
      </c>
      <c r="H47" s="32">
        <f aca="true" t="shared" si="38" ref="H47:H49">G47*(1+$H$9)</f>
        <v>532.450572</v>
      </c>
      <c r="I47" s="33">
        <f aca="true" t="shared" si="39" ref="I47:I49">H47*F47</f>
        <v>532.450572</v>
      </c>
      <c r="J47" s="161"/>
      <c r="K47" s="6"/>
      <c r="L47" s="151">
        <f aca="true" t="shared" si="40" ref="L47:L49">I47-K47</f>
        <v>532.450572</v>
      </c>
      <c r="M47" s="150"/>
      <c r="N47" s="6"/>
      <c r="O47" s="151">
        <f aca="true" t="shared" si="41" ref="O47:O49">I47-K47-N47</f>
        <v>532.450572</v>
      </c>
      <c r="P47" s="150"/>
      <c r="Q47" s="146">
        <f aca="true" t="shared" si="42" ref="Q47:Q48">P47*H47</f>
        <v>0</v>
      </c>
      <c r="R47" s="151">
        <f aca="true" t="shared" si="43" ref="R47:R49">L47-N47-Q47</f>
        <v>532.450572</v>
      </c>
    </row>
    <row r="48" spans="1:18" ht="15">
      <c r="A48" s="8" t="s">
        <v>66</v>
      </c>
      <c r="B48" s="24" t="s">
        <v>297</v>
      </c>
      <c r="C48" s="24" t="s">
        <v>10</v>
      </c>
      <c r="D48" s="9" t="s">
        <v>296</v>
      </c>
      <c r="E48" s="11" t="s">
        <v>16</v>
      </c>
      <c r="F48" s="12">
        <f>MEMÓRIA!D37</f>
        <v>5.25</v>
      </c>
      <c r="G48" s="13">
        <v>981.53</v>
      </c>
      <c r="H48" s="32">
        <f t="shared" si="38"/>
        <v>1202.079791</v>
      </c>
      <c r="I48" s="33">
        <f t="shared" si="39"/>
        <v>6310.91890275</v>
      </c>
      <c r="J48" s="161"/>
      <c r="K48" s="6"/>
      <c r="L48" s="151">
        <f t="shared" si="40"/>
        <v>6310.91890275</v>
      </c>
      <c r="M48" s="150"/>
      <c r="N48" s="6"/>
      <c r="O48" s="151">
        <f t="shared" si="41"/>
        <v>6310.91890275</v>
      </c>
      <c r="P48" s="150"/>
      <c r="Q48" s="146">
        <f t="shared" si="42"/>
        <v>0</v>
      </c>
      <c r="R48" s="151">
        <f t="shared" si="43"/>
        <v>6310.91890275</v>
      </c>
    </row>
    <row r="49" spans="1:18" ht="15">
      <c r="A49" s="8" t="s">
        <v>71</v>
      </c>
      <c r="B49" s="157" t="s">
        <v>239</v>
      </c>
      <c r="C49" s="24" t="s">
        <v>10</v>
      </c>
      <c r="D49" s="158" t="s">
        <v>238</v>
      </c>
      <c r="E49" s="11" t="s">
        <v>16</v>
      </c>
      <c r="F49" s="12">
        <f>MEMÓRIA!D38</f>
        <v>3</v>
      </c>
      <c r="G49" s="13">
        <v>634.29</v>
      </c>
      <c r="H49" s="32">
        <f t="shared" si="38"/>
        <v>776.8149629999999</v>
      </c>
      <c r="I49" s="33">
        <f t="shared" si="39"/>
        <v>2330.444889</v>
      </c>
      <c r="J49" s="161"/>
      <c r="K49" s="6"/>
      <c r="L49" s="151">
        <f t="shared" si="40"/>
        <v>2330.444889</v>
      </c>
      <c r="M49" s="150"/>
      <c r="N49" s="6"/>
      <c r="O49" s="151">
        <f t="shared" si="41"/>
        <v>2330.444889</v>
      </c>
      <c r="P49" s="150"/>
      <c r="Q49" s="146">
        <f aca="true" t="shared" si="44" ref="Q49">P49*H49</f>
        <v>0</v>
      </c>
      <c r="R49" s="151">
        <f t="shared" si="43"/>
        <v>2330.444889</v>
      </c>
    </row>
    <row r="50" spans="1:18" ht="24" customHeight="1">
      <c r="A50" s="92" t="s">
        <v>72</v>
      </c>
      <c r="B50" s="93"/>
      <c r="C50" s="93"/>
      <c r="D50" s="94" t="s">
        <v>148</v>
      </c>
      <c r="E50" s="95"/>
      <c r="F50" s="96"/>
      <c r="G50" s="97"/>
      <c r="H50" s="98"/>
      <c r="I50" s="99">
        <f>SUM(I51:I61)</f>
        <v>12207.209496999998</v>
      </c>
      <c r="J50" s="154"/>
      <c r="K50" s="154"/>
      <c r="L50" s="155"/>
      <c r="M50" s="153"/>
      <c r="N50" s="154"/>
      <c r="O50" s="155"/>
      <c r="P50" s="153"/>
      <c r="Q50" s="154"/>
      <c r="R50" s="155"/>
    </row>
    <row r="51" spans="1:18" ht="15">
      <c r="A51" s="8" t="s">
        <v>75</v>
      </c>
      <c r="B51" s="24" t="s">
        <v>63</v>
      </c>
      <c r="C51" s="24" t="s">
        <v>10</v>
      </c>
      <c r="D51" s="9" t="s">
        <v>62</v>
      </c>
      <c r="E51" s="11" t="s">
        <v>16</v>
      </c>
      <c r="F51" s="12">
        <f>MEMÓRIA!D40</f>
        <v>2</v>
      </c>
      <c r="G51" s="13">
        <v>271.3</v>
      </c>
      <c r="H51" s="32">
        <f aca="true" t="shared" si="45" ref="H51:H57">G51*(1+$H$9)</f>
        <v>332.26111</v>
      </c>
      <c r="I51" s="33">
        <f aca="true" t="shared" si="46" ref="I51:I57">H51*F51</f>
        <v>664.52222</v>
      </c>
      <c r="J51" s="161"/>
      <c r="K51" s="6"/>
      <c r="L51" s="151">
        <f aca="true" t="shared" si="47" ref="L51:L57">I51-K51</f>
        <v>664.52222</v>
      </c>
      <c r="M51" s="150"/>
      <c r="N51" s="6"/>
      <c r="O51" s="151">
        <f aca="true" t="shared" si="48" ref="O51:O57">I51-K51-N51</f>
        <v>664.52222</v>
      </c>
      <c r="P51" s="150"/>
      <c r="Q51" s="146">
        <f aca="true" t="shared" si="49" ref="Q51:Q57">P51*H51</f>
        <v>0</v>
      </c>
      <c r="R51" s="151">
        <f aca="true" t="shared" si="50" ref="R51:R57">L51-N51-Q51</f>
        <v>664.52222</v>
      </c>
    </row>
    <row r="52" spans="1:18" ht="15">
      <c r="A52" s="8" t="s">
        <v>143</v>
      </c>
      <c r="B52" s="24" t="s">
        <v>65</v>
      </c>
      <c r="C52" s="24" t="s">
        <v>10</v>
      </c>
      <c r="D52" s="9" t="s">
        <v>64</v>
      </c>
      <c r="E52" s="11" t="s">
        <v>16</v>
      </c>
      <c r="F52" s="12">
        <f>MEMÓRIA!D41</f>
        <v>2</v>
      </c>
      <c r="G52" s="13">
        <v>248.27</v>
      </c>
      <c r="H52" s="32">
        <f t="shared" si="45"/>
        <v>304.056269</v>
      </c>
      <c r="I52" s="33">
        <f t="shared" si="46"/>
        <v>608.112538</v>
      </c>
      <c r="J52" s="161"/>
      <c r="K52" s="6"/>
      <c r="L52" s="151">
        <f t="shared" si="47"/>
        <v>608.112538</v>
      </c>
      <c r="M52" s="150"/>
      <c r="N52" s="6"/>
      <c r="O52" s="151">
        <f t="shared" si="48"/>
        <v>608.112538</v>
      </c>
      <c r="P52" s="150"/>
      <c r="Q52" s="146">
        <f t="shared" si="49"/>
        <v>0</v>
      </c>
      <c r="R52" s="151">
        <f t="shared" si="50"/>
        <v>608.112538</v>
      </c>
    </row>
    <row r="53" spans="1:18" ht="30">
      <c r="A53" s="8" t="s">
        <v>144</v>
      </c>
      <c r="B53" s="24" t="s">
        <v>68</v>
      </c>
      <c r="C53" s="24" t="s">
        <v>10</v>
      </c>
      <c r="D53" s="10" t="s">
        <v>67</v>
      </c>
      <c r="E53" s="11" t="s">
        <v>16</v>
      </c>
      <c r="F53" s="12">
        <f>MEMÓRIA!D42</f>
        <v>4</v>
      </c>
      <c r="G53" s="13">
        <v>128.66</v>
      </c>
      <c r="H53" s="32">
        <f t="shared" si="45"/>
        <v>157.56990199999998</v>
      </c>
      <c r="I53" s="33">
        <f t="shared" si="46"/>
        <v>630.2796079999999</v>
      </c>
      <c r="J53" s="161"/>
      <c r="K53" s="6"/>
      <c r="L53" s="151">
        <f t="shared" si="47"/>
        <v>630.2796079999999</v>
      </c>
      <c r="M53" s="150"/>
      <c r="N53" s="6"/>
      <c r="O53" s="151">
        <f t="shared" si="48"/>
        <v>630.2796079999999</v>
      </c>
      <c r="P53" s="150"/>
      <c r="Q53" s="146">
        <f t="shared" si="49"/>
        <v>0</v>
      </c>
      <c r="R53" s="151">
        <f t="shared" si="50"/>
        <v>630.2796079999999</v>
      </c>
    </row>
    <row r="54" spans="1:18" ht="15">
      <c r="A54" s="8" t="s">
        <v>145</v>
      </c>
      <c r="B54" s="24" t="s">
        <v>70</v>
      </c>
      <c r="C54" s="24" t="s">
        <v>10</v>
      </c>
      <c r="D54" s="9" t="s">
        <v>69</v>
      </c>
      <c r="E54" s="11" t="s">
        <v>16</v>
      </c>
      <c r="F54" s="12">
        <f>MEMÓRIA!D43</f>
        <v>4</v>
      </c>
      <c r="G54" s="13">
        <v>392.5</v>
      </c>
      <c r="H54" s="32">
        <f t="shared" si="45"/>
        <v>480.69474999999994</v>
      </c>
      <c r="I54" s="33">
        <f t="shared" si="46"/>
        <v>1922.7789999999998</v>
      </c>
      <c r="J54" s="161"/>
      <c r="K54" s="6"/>
      <c r="L54" s="151">
        <f t="shared" si="47"/>
        <v>1922.7789999999998</v>
      </c>
      <c r="M54" s="150">
        <v>2</v>
      </c>
      <c r="N54" s="146">
        <f>M54*H54</f>
        <v>961.3894999999999</v>
      </c>
      <c r="O54" s="151">
        <f t="shared" si="48"/>
        <v>961.3894999999999</v>
      </c>
      <c r="P54" s="150"/>
      <c r="Q54" s="146">
        <f t="shared" si="49"/>
        <v>0</v>
      </c>
      <c r="R54" s="151">
        <f t="shared" si="50"/>
        <v>961.3894999999999</v>
      </c>
    </row>
    <row r="55" spans="1:18" ht="30">
      <c r="A55" s="8" t="s">
        <v>146</v>
      </c>
      <c r="B55" s="24" t="s">
        <v>140</v>
      </c>
      <c r="C55" s="24" t="s">
        <v>10</v>
      </c>
      <c r="D55" s="10" t="s">
        <v>139</v>
      </c>
      <c r="E55" s="11" t="s">
        <v>16</v>
      </c>
      <c r="F55" s="12">
        <f>MEMÓRIA!D44</f>
        <v>1</v>
      </c>
      <c r="G55" s="13">
        <v>924.93</v>
      </c>
      <c r="H55" s="32">
        <f t="shared" si="45"/>
        <v>1132.761771</v>
      </c>
      <c r="I55" s="33">
        <f t="shared" si="46"/>
        <v>1132.761771</v>
      </c>
      <c r="J55" s="161"/>
      <c r="K55" s="6"/>
      <c r="L55" s="151">
        <f t="shared" si="47"/>
        <v>1132.761771</v>
      </c>
      <c r="M55" s="150"/>
      <c r="N55" s="6"/>
      <c r="O55" s="151">
        <f t="shared" si="48"/>
        <v>1132.761771</v>
      </c>
      <c r="P55" s="150"/>
      <c r="Q55" s="146">
        <f t="shared" si="49"/>
        <v>0</v>
      </c>
      <c r="R55" s="151">
        <f t="shared" si="50"/>
        <v>1132.761771</v>
      </c>
    </row>
    <row r="56" spans="1:18" ht="30">
      <c r="A56" s="52" t="s">
        <v>147</v>
      </c>
      <c r="B56" s="24" t="s">
        <v>142</v>
      </c>
      <c r="C56" s="24" t="s">
        <v>10</v>
      </c>
      <c r="D56" s="10" t="s">
        <v>141</v>
      </c>
      <c r="E56" s="11" t="s">
        <v>16</v>
      </c>
      <c r="F56" s="12">
        <f>MEMÓRIA!D45</f>
        <v>2</v>
      </c>
      <c r="G56" s="13">
        <v>1315.14</v>
      </c>
      <c r="H56" s="32">
        <f t="shared" si="45"/>
        <v>1610.651958</v>
      </c>
      <c r="I56" s="33">
        <f t="shared" si="46"/>
        <v>3221.303916</v>
      </c>
      <c r="J56" s="161"/>
      <c r="K56" s="6"/>
      <c r="L56" s="151">
        <f t="shared" si="47"/>
        <v>3221.303916</v>
      </c>
      <c r="M56" s="150"/>
      <c r="N56" s="6"/>
      <c r="O56" s="151">
        <f t="shared" si="48"/>
        <v>3221.303916</v>
      </c>
      <c r="P56" s="150"/>
      <c r="Q56" s="146">
        <f t="shared" si="49"/>
        <v>0</v>
      </c>
      <c r="R56" s="151">
        <f t="shared" si="50"/>
        <v>3221.303916</v>
      </c>
    </row>
    <row r="57" spans="1:18" ht="15">
      <c r="A57" s="52" t="s">
        <v>192</v>
      </c>
      <c r="B57" s="24" t="s">
        <v>129</v>
      </c>
      <c r="C57" s="24" t="s">
        <v>10</v>
      </c>
      <c r="D57" s="9" t="s">
        <v>128</v>
      </c>
      <c r="E57" s="11" t="s">
        <v>16</v>
      </c>
      <c r="F57" s="12">
        <f>MEMÓRIA!D46</f>
        <v>5</v>
      </c>
      <c r="G57" s="13">
        <v>75.34</v>
      </c>
      <c r="H57" s="32">
        <f t="shared" si="45"/>
        <v>92.268898</v>
      </c>
      <c r="I57" s="33">
        <f t="shared" si="46"/>
        <v>461.34448999999995</v>
      </c>
      <c r="J57" s="161"/>
      <c r="K57" s="6"/>
      <c r="L57" s="151">
        <f t="shared" si="47"/>
        <v>461.34448999999995</v>
      </c>
      <c r="M57" s="150"/>
      <c r="N57" s="6"/>
      <c r="O57" s="151">
        <f t="shared" si="48"/>
        <v>461.34448999999995</v>
      </c>
      <c r="P57" s="150"/>
      <c r="Q57" s="146">
        <f t="shared" si="49"/>
        <v>0</v>
      </c>
      <c r="R57" s="151">
        <f t="shared" si="50"/>
        <v>461.34448999999995</v>
      </c>
    </row>
    <row r="58" spans="1:18" ht="15">
      <c r="A58" s="52" t="s">
        <v>155</v>
      </c>
      <c r="B58" s="24" t="s">
        <v>280</v>
      </c>
      <c r="C58" s="24" t="s">
        <v>10</v>
      </c>
      <c r="D58" s="9" t="s">
        <v>251</v>
      </c>
      <c r="E58" s="11" t="s">
        <v>16</v>
      </c>
      <c r="F58" s="12">
        <f>MEMÓRIA!D47</f>
        <v>4</v>
      </c>
      <c r="G58" s="13">
        <v>466.98</v>
      </c>
      <c r="H58" s="32">
        <f aca="true" t="shared" si="51" ref="H58:H61">G58*(1+$H$9)</f>
        <v>571.910406</v>
      </c>
      <c r="I58" s="33">
        <f aca="true" t="shared" si="52" ref="I58:I61">H58*F58</f>
        <v>2287.641624</v>
      </c>
      <c r="J58" s="176"/>
      <c r="K58" s="176"/>
      <c r="L58" s="177"/>
      <c r="M58" s="178"/>
      <c r="N58" s="176"/>
      <c r="O58" s="177"/>
      <c r="P58" s="178"/>
      <c r="Q58" s="179"/>
      <c r="R58" s="177"/>
    </row>
    <row r="59" spans="1:18" ht="30">
      <c r="A59" s="52" t="s">
        <v>156</v>
      </c>
      <c r="B59" s="24" t="s">
        <v>279</v>
      </c>
      <c r="C59" s="24" t="s">
        <v>10</v>
      </c>
      <c r="D59" s="10" t="s">
        <v>278</v>
      </c>
      <c r="E59" s="11" t="s">
        <v>16</v>
      </c>
      <c r="F59" s="12">
        <f>MEMÓRIA!D48</f>
        <v>2</v>
      </c>
      <c r="G59" s="13">
        <v>167.23</v>
      </c>
      <c r="H59" s="32">
        <f t="shared" si="51"/>
        <v>204.80658099999997</v>
      </c>
      <c r="I59" s="33">
        <f t="shared" si="52"/>
        <v>409.61316199999993</v>
      </c>
      <c r="J59" s="176"/>
      <c r="K59" s="176"/>
      <c r="L59" s="177"/>
      <c r="M59" s="178"/>
      <c r="N59" s="176"/>
      <c r="O59" s="177"/>
      <c r="P59" s="178"/>
      <c r="Q59" s="179"/>
      <c r="R59" s="177"/>
    </row>
    <row r="60" spans="1:18" ht="30">
      <c r="A60" s="52" t="s">
        <v>157</v>
      </c>
      <c r="B60" s="24" t="s">
        <v>282</v>
      </c>
      <c r="C60" s="24" t="s">
        <v>10</v>
      </c>
      <c r="D60" s="10" t="s">
        <v>281</v>
      </c>
      <c r="E60" s="11" t="s">
        <v>16</v>
      </c>
      <c r="F60" s="12">
        <f>MEMÓRIA!D49</f>
        <v>4</v>
      </c>
      <c r="G60" s="13">
        <v>98.67</v>
      </c>
      <c r="H60" s="32">
        <f t="shared" si="51"/>
        <v>120.84114899999999</v>
      </c>
      <c r="I60" s="33">
        <f t="shared" si="52"/>
        <v>483.36459599999995</v>
      </c>
      <c r="J60" s="176"/>
      <c r="K60" s="176"/>
      <c r="L60" s="177"/>
      <c r="M60" s="178"/>
      <c r="N60" s="176"/>
      <c r="O60" s="177"/>
      <c r="P60" s="178"/>
      <c r="Q60" s="179"/>
      <c r="R60" s="177"/>
    </row>
    <row r="61" spans="1:18" ht="30">
      <c r="A61" s="52" t="s">
        <v>158</v>
      </c>
      <c r="B61" s="24" t="s">
        <v>127</v>
      </c>
      <c r="C61" s="24" t="s">
        <v>10</v>
      </c>
      <c r="D61" s="10" t="s">
        <v>126</v>
      </c>
      <c r="E61" s="11" t="s">
        <v>16</v>
      </c>
      <c r="F61" s="12">
        <f>MEMÓRIA!D50</f>
        <v>4</v>
      </c>
      <c r="G61" s="13">
        <v>78.69</v>
      </c>
      <c r="H61" s="32">
        <f t="shared" si="51"/>
        <v>96.37164299999999</v>
      </c>
      <c r="I61" s="33">
        <f t="shared" si="52"/>
        <v>385.48657199999997</v>
      </c>
      <c r="J61" s="176"/>
      <c r="K61" s="176"/>
      <c r="L61" s="177"/>
      <c r="M61" s="178"/>
      <c r="N61" s="176"/>
      <c r="O61" s="177"/>
      <c r="P61" s="178"/>
      <c r="Q61" s="179"/>
      <c r="R61" s="177"/>
    </row>
    <row r="62" spans="1:18" ht="24" customHeight="1">
      <c r="A62" s="92" t="s">
        <v>76</v>
      </c>
      <c r="B62" s="93"/>
      <c r="C62" s="93"/>
      <c r="D62" s="94" t="s">
        <v>77</v>
      </c>
      <c r="E62" s="95"/>
      <c r="F62" s="96"/>
      <c r="G62" s="97"/>
      <c r="H62" s="98"/>
      <c r="I62" s="99">
        <f>SUM(I63:I73)</f>
        <v>10575.03956</v>
      </c>
      <c r="J62" s="154"/>
      <c r="K62" s="154"/>
      <c r="L62" s="155"/>
      <c r="M62" s="153"/>
      <c r="N62" s="154"/>
      <c r="O62" s="155"/>
      <c r="P62" s="153"/>
      <c r="Q62" s="154"/>
      <c r="R62" s="155"/>
    </row>
    <row r="63" spans="1:18" ht="38.25">
      <c r="A63" s="8" t="s">
        <v>80</v>
      </c>
      <c r="B63" s="11" t="s">
        <v>253</v>
      </c>
      <c r="C63" s="11" t="s">
        <v>10</v>
      </c>
      <c r="D63" s="8" t="s">
        <v>252</v>
      </c>
      <c r="E63" s="34" t="s">
        <v>5</v>
      </c>
      <c r="F63" s="12">
        <f>MEMÓRIA!D54</f>
        <v>7</v>
      </c>
      <c r="G63" s="35">
        <v>186.98</v>
      </c>
      <c r="H63" s="32">
        <f aca="true" t="shared" si="53" ref="H63:H71">G63*(1+$H$9)</f>
        <v>228.99440599999997</v>
      </c>
      <c r="I63" s="33">
        <f aca="true" t="shared" si="54" ref="I63:I65">H63*F63</f>
        <v>1602.9608419999997</v>
      </c>
      <c r="J63" s="161"/>
      <c r="K63" s="6"/>
      <c r="L63" s="151">
        <f aca="true" t="shared" si="55" ref="L63:L71">I63-K63</f>
        <v>1602.9608419999997</v>
      </c>
      <c r="M63" s="150"/>
      <c r="N63" s="6"/>
      <c r="O63" s="151">
        <f aca="true" t="shared" si="56" ref="O63:O68">I63-K63-N63</f>
        <v>1602.9608419999997</v>
      </c>
      <c r="P63" s="150"/>
      <c r="Q63" s="146">
        <f aca="true" t="shared" si="57" ref="Q63:Q71">P63*H63</f>
        <v>0</v>
      </c>
      <c r="R63" s="151">
        <f aca="true" t="shared" si="58" ref="R63:R68">L63-N63-Q63</f>
        <v>1602.9608419999997</v>
      </c>
    </row>
    <row r="64" spans="1:18" s="21" customFormat="1" ht="65.25" customHeight="1">
      <c r="A64" s="8" t="s">
        <v>81</v>
      </c>
      <c r="B64" s="119" t="s">
        <v>185</v>
      </c>
      <c r="C64" s="11" t="s">
        <v>186</v>
      </c>
      <c r="D64" s="10" t="s">
        <v>184</v>
      </c>
      <c r="E64" s="11" t="s">
        <v>5</v>
      </c>
      <c r="F64" s="12">
        <f>MEMÓRIA!D55</f>
        <v>14</v>
      </c>
      <c r="G64" s="35">
        <v>32.41</v>
      </c>
      <c r="H64" s="32">
        <f t="shared" si="53"/>
        <v>39.69252699999999</v>
      </c>
      <c r="I64" s="33">
        <f t="shared" si="54"/>
        <v>555.6953779999999</v>
      </c>
      <c r="J64" s="162"/>
      <c r="K64" s="24"/>
      <c r="L64" s="151">
        <f t="shared" si="55"/>
        <v>555.6953779999999</v>
      </c>
      <c r="M64" s="152"/>
      <c r="N64" s="24"/>
      <c r="O64" s="151">
        <f t="shared" si="56"/>
        <v>555.6953779999999</v>
      </c>
      <c r="P64" s="152"/>
      <c r="Q64" s="146">
        <f t="shared" si="57"/>
        <v>0</v>
      </c>
      <c r="R64" s="151">
        <f t="shared" si="58"/>
        <v>555.6953779999999</v>
      </c>
    </row>
    <row r="65" spans="1:18" ht="25.5">
      <c r="A65" s="8" t="s">
        <v>82</v>
      </c>
      <c r="B65" s="11" t="s">
        <v>79</v>
      </c>
      <c r="C65" s="11" t="s">
        <v>10</v>
      </c>
      <c r="D65" s="8" t="s">
        <v>78</v>
      </c>
      <c r="E65" s="34" t="s">
        <v>84</v>
      </c>
      <c r="F65" s="12">
        <v>4</v>
      </c>
      <c r="G65" s="35">
        <v>22.69</v>
      </c>
      <c r="H65" s="32">
        <f t="shared" si="53"/>
        <v>27.788443</v>
      </c>
      <c r="I65" s="33">
        <f t="shared" si="54"/>
        <v>111.153772</v>
      </c>
      <c r="J65" s="161"/>
      <c r="K65" s="6"/>
      <c r="L65" s="151">
        <f t="shared" si="55"/>
        <v>111.153772</v>
      </c>
      <c r="M65" s="150">
        <v>3</v>
      </c>
      <c r="N65" s="146">
        <f aca="true" t="shared" si="59" ref="N65:N68">M65*H65</f>
        <v>83.365329</v>
      </c>
      <c r="O65" s="151">
        <f t="shared" si="56"/>
        <v>27.788443</v>
      </c>
      <c r="P65" s="150"/>
      <c r="Q65" s="146">
        <f t="shared" si="57"/>
        <v>0</v>
      </c>
      <c r="R65" s="151">
        <f t="shared" si="58"/>
        <v>27.788443</v>
      </c>
    </row>
    <row r="66" spans="1:18" ht="15">
      <c r="A66" s="8" t="s">
        <v>83</v>
      </c>
      <c r="B66" s="11" t="s">
        <v>258</v>
      </c>
      <c r="C66" s="11" t="s">
        <v>10</v>
      </c>
      <c r="D66" s="8" t="s">
        <v>257</v>
      </c>
      <c r="E66" s="174" t="s">
        <v>20</v>
      </c>
      <c r="F66" s="12">
        <f>MEMÓRIA!D57</f>
        <v>4</v>
      </c>
      <c r="G66" s="35">
        <v>31.22</v>
      </c>
      <c r="H66" s="32">
        <f t="shared" si="53"/>
        <v>38.235133999999995</v>
      </c>
      <c r="I66" s="33">
        <f>H66*F66</f>
        <v>152.94053599999998</v>
      </c>
      <c r="J66" s="161"/>
      <c r="K66" s="6"/>
      <c r="L66" s="151"/>
      <c r="M66" s="150"/>
      <c r="N66" s="146"/>
      <c r="O66" s="151"/>
      <c r="P66" s="150"/>
      <c r="Q66" s="146"/>
      <c r="R66" s="151"/>
    </row>
    <row r="67" spans="1:18" ht="25.5">
      <c r="A67" s="8" t="s">
        <v>159</v>
      </c>
      <c r="B67" s="11" t="s">
        <v>130</v>
      </c>
      <c r="C67" s="11" t="s">
        <v>10</v>
      </c>
      <c r="D67" s="8" t="s">
        <v>256</v>
      </c>
      <c r="E67" s="174" t="s">
        <v>12</v>
      </c>
      <c r="F67" s="12">
        <f>MEMÓRIA!D58</f>
        <v>50</v>
      </c>
      <c r="G67" s="35">
        <v>3.4</v>
      </c>
      <c r="H67" s="32">
        <f t="shared" si="53"/>
        <v>4.16398</v>
      </c>
      <c r="I67" s="33">
        <f>H67*F67</f>
        <v>208.19899999999998</v>
      </c>
      <c r="J67" s="161"/>
      <c r="K67" s="6"/>
      <c r="L67" s="151"/>
      <c r="M67" s="150"/>
      <c r="N67" s="146"/>
      <c r="O67" s="151"/>
      <c r="P67" s="150"/>
      <c r="Q67" s="146"/>
      <c r="R67" s="151"/>
    </row>
    <row r="68" spans="1:18" ht="30">
      <c r="A68" s="8" t="s">
        <v>187</v>
      </c>
      <c r="B68" s="24" t="s">
        <v>255</v>
      </c>
      <c r="C68" s="24" t="s">
        <v>10</v>
      </c>
      <c r="D68" s="10" t="s">
        <v>254</v>
      </c>
      <c r="E68" s="11" t="s">
        <v>12</v>
      </c>
      <c r="F68" s="12">
        <f>MEMÓRIA!D59</f>
        <v>100</v>
      </c>
      <c r="G68" s="13">
        <v>6.45</v>
      </c>
      <c r="H68" s="32">
        <f t="shared" si="53"/>
        <v>7.899315</v>
      </c>
      <c r="I68" s="33">
        <f>H68*F68</f>
        <v>789.9314999999999</v>
      </c>
      <c r="J68" s="161"/>
      <c r="K68" s="6"/>
      <c r="L68" s="151">
        <f t="shared" si="55"/>
        <v>789.9314999999999</v>
      </c>
      <c r="M68" s="150">
        <v>12</v>
      </c>
      <c r="N68" s="146">
        <f t="shared" si="59"/>
        <v>94.79177999999999</v>
      </c>
      <c r="O68" s="151">
        <f t="shared" si="56"/>
        <v>695.1397199999999</v>
      </c>
      <c r="P68" s="150"/>
      <c r="Q68" s="146">
        <f t="shared" si="57"/>
        <v>0</v>
      </c>
      <c r="R68" s="151">
        <f t="shared" si="58"/>
        <v>695.1397199999999</v>
      </c>
    </row>
    <row r="69" spans="1:18" ht="30">
      <c r="A69" s="8" t="s">
        <v>290</v>
      </c>
      <c r="B69" s="24" t="s">
        <v>193</v>
      </c>
      <c r="C69" s="24" t="s">
        <v>10</v>
      </c>
      <c r="D69" s="10" t="s">
        <v>285</v>
      </c>
      <c r="E69" s="11" t="s">
        <v>12</v>
      </c>
      <c r="F69" s="12">
        <f>MEMÓRIA!D60</f>
        <v>150</v>
      </c>
      <c r="G69" s="13">
        <v>9.07</v>
      </c>
      <c r="H69" s="14">
        <f t="shared" si="53"/>
        <v>11.108029</v>
      </c>
      <c r="I69" s="15">
        <f aca="true" t="shared" si="60" ref="I69:I70">H69*F69</f>
        <v>1666.20435</v>
      </c>
      <c r="J69" s="176"/>
      <c r="K69" s="176"/>
      <c r="L69" s="177"/>
      <c r="M69" s="178"/>
      <c r="N69" s="179"/>
      <c r="O69" s="177"/>
      <c r="P69" s="178"/>
      <c r="Q69" s="179"/>
      <c r="R69" s="177"/>
    </row>
    <row r="70" spans="1:18" ht="30">
      <c r="A70" s="8" t="s">
        <v>291</v>
      </c>
      <c r="B70" s="24" t="s">
        <v>287</v>
      </c>
      <c r="C70" s="24" t="s">
        <v>10</v>
      </c>
      <c r="D70" s="10" t="s">
        <v>286</v>
      </c>
      <c r="E70" s="11" t="s">
        <v>12</v>
      </c>
      <c r="F70" s="12">
        <f>MEMÓRIA!D61</f>
        <v>50</v>
      </c>
      <c r="G70" s="13">
        <v>19.06</v>
      </c>
      <c r="H70" s="14">
        <f t="shared" si="53"/>
        <v>23.342781999999996</v>
      </c>
      <c r="I70" s="15">
        <f t="shared" si="60"/>
        <v>1167.1390999999999</v>
      </c>
      <c r="J70" s="176"/>
      <c r="K70" s="176"/>
      <c r="L70" s="177"/>
      <c r="M70" s="178"/>
      <c r="N70" s="179"/>
      <c r="O70" s="177"/>
      <c r="P70" s="178"/>
      <c r="Q70" s="179"/>
      <c r="R70" s="177"/>
    </row>
    <row r="71" spans="1:18" ht="30">
      <c r="A71" s="8" t="s">
        <v>292</v>
      </c>
      <c r="B71" s="24" t="s">
        <v>160</v>
      </c>
      <c r="C71" s="24" t="s">
        <v>10</v>
      </c>
      <c r="D71" s="10" t="s">
        <v>283</v>
      </c>
      <c r="E71" s="11" t="s">
        <v>16</v>
      </c>
      <c r="F71" s="12">
        <f>MEMÓRIA!D62</f>
        <v>1</v>
      </c>
      <c r="G71" s="13">
        <v>662.39</v>
      </c>
      <c r="H71" s="14">
        <f t="shared" si="53"/>
        <v>811.229033</v>
      </c>
      <c r="I71" s="15">
        <f>H71*F71</f>
        <v>811.229033</v>
      </c>
      <c r="J71" s="176"/>
      <c r="K71" s="176"/>
      <c r="L71" s="177">
        <f t="shared" si="55"/>
        <v>811.229033</v>
      </c>
      <c r="M71" s="178"/>
      <c r="N71" s="179"/>
      <c r="O71" s="177"/>
      <c r="P71" s="178"/>
      <c r="Q71" s="179">
        <f t="shared" si="57"/>
        <v>0</v>
      </c>
      <c r="R71" s="177"/>
    </row>
    <row r="72" spans="1:18" ht="30">
      <c r="A72" s="8" t="s">
        <v>293</v>
      </c>
      <c r="B72" s="24" t="s">
        <v>289</v>
      </c>
      <c r="C72" s="24" t="s">
        <v>10</v>
      </c>
      <c r="D72" s="10" t="s">
        <v>284</v>
      </c>
      <c r="E72" s="11" t="s">
        <v>16</v>
      </c>
      <c r="F72" s="12">
        <f>MEMÓRIA!D63</f>
        <v>6</v>
      </c>
      <c r="G72" s="13">
        <v>137.39</v>
      </c>
      <c r="H72" s="14">
        <f aca="true" t="shared" si="61" ref="H72">G72*(1+$H$9)</f>
        <v>168.26153299999996</v>
      </c>
      <c r="I72" s="15">
        <f aca="true" t="shared" si="62" ref="I72">H72*F72</f>
        <v>1009.5691979999997</v>
      </c>
      <c r="J72" s="176"/>
      <c r="K72" s="176"/>
      <c r="L72" s="177"/>
      <c r="M72" s="178"/>
      <c r="N72" s="179"/>
      <c r="O72" s="177"/>
      <c r="P72" s="178"/>
      <c r="Q72" s="179"/>
      <c r="R72" s="177"/>
    </row>
    <row r="73" spans="1:18" ht="60">
      <c r="A73" s="8" t="s">
        <v>307</v>
      </c>
      <c r="B73" s="24">
        <v>101506</v>
      </c>
      <c r="C73" s="24" t="s">
        <v>221</v>
      </c>
      <c r="D73" s="10" t="s">
        <v>310</v>
      </c>
      <c r="E73" s="11" t="s">
        <v>16</v>
      </c>
      <c r="F73" s="12">
        <v>1</v>
      </c>
      <c r="G73" s="13">
        <v>2041.33</v>
      </c>
      <c r="H73" s="14">
        <f aca="true" t="shared" si="63" ref="H73">G73*(1+$H$9)</f>
        <v>2500.016851</v>
      </c>
      <c r="I73" s="15">
        <f aca="true" t="shared" si="64" ref="I73">H73*F73</f>
        <v>2500.016851</v>
      </c>
      <c r="J73" s="176"/>
      <c r="K73" s="176"/>
      <c r="L73" s="177"/>
      <c r="M73" s="178"/>
      <c r="N73" s="179"/>
      <c r="O73" s="177"/>
      <c r="P73" s="178"/>
      <c r="Q73" s="179"/>
      <c r="R73" s="177"/>
    </row>
    <row r="74" spans="1:18" ht="23.25" customHeight="1">
      <c r="A74" s="92" t="s">
        <v>85</v>
      </c>
      <c r="B74" s="182"/>
      <c r="C74" s="93"/>
      <c r="D74" s="94" t="s">
        <v>86</v>
      </c>
      <c r="E74" s="95"/>
      <c r="F74" s="96"/>
      <c r="G74" s="97"/>
      <c r="H74" s="98"/>
      <c r="I74" s="99">
        <f>SUM(I75:I78)</f>
        <v>2590.75303695</v>
      </c>
      <c r="J74" s="154"/>
      <c r="K74" s="154"/>
      <c r="L74" s="155"/>
      <c r="M74" s="153"/>
      <c r="N74" s="154"/>
      <c r="O74" s="155"/>
      <c r="P74" s="153"/>
      <c r="Q74" s="154"/>
      <c r="R74" s="155"/>
    </row>
    <row r="75" spans="1:18" ht="25.5">
      <c r="A75" s="36" t="s">
        <v>87</v>
      </c>
      <c r="B75" s="11" t="s">
        <v>243</v>
      </c>
      <c r="C75" s="11" t="s">
        <v>10</v>
      </c>
      <c r="D75" s="36" t="s">
        <v>242</v>
      </c>
      <c r="E75" s="24" t="s">
        <v>32</v>
      </c>
      <c r="F75" s="41">
        <f>MEMÓRIA!D66</f>
        <v>7.45</v>
      </c>
      <c r="G75" s="14">
        <v>119.14</v>
      </c>
      <c r="H75" s="32">
        <f aca="true" t="shared" si="65" ref="H75:H78">G75*(1+$H$9)</f>
        <v>145.910758</v>
      </c>
      <c r="I75" s="33">
        <f aca="true" t="shared" si="66" ref="I75:I77">H75*F75</f>
        <v>1087.0351471</v>
      </c>
      <c r="J75" s="161"/>
      <c r="K75" s="6"/>
      <c r="L75" s="151">
        <f aca="true" t="shared" si="67" ref="L75:L79">I75-K75</f>
        <v>1087.0351471</v>
      </c>
      <c r="M75" s="150">
        <v>421.83</v>
      </c>
      <c r="N75" s="146">
        <f>M75*H75</f>
        <v>61549.535047139994</v>
      </c>
      <c r="O75" s="151">
        <f aca="true" t="shared" si="68" ref="O75:O77">I75-K75-N75</f>
        <v>-60462.49990003999</v>
      </c>
      <c r="P75" s="150"/>
      <c r="Q75" s="146">
        <f>P75*K75</f>
        <v>0</v>
      </c>
      <c r="R75" s="151">
        <f aca="true" t="shared" si="69" ref="R75:R77">L75-N75-Q75</f>
        <v>-60462.49990003999</v>
      </c>
    </row>
    <row r="76" spans="1:18" ht="30">
      <c r="A76" s="36" t="s">
        <v>88</v>
      </c>
      <c r="B76" s="24" t="s">
        <v>245</v>
      </c>
      <c r="C76" s="11" t="s">
        <v>10</v>
      </c>
      <c r="D76" s="10" t="s">
        <v>244</v>
      </c>
      <c r="E76" s="24" t="s">
        <v>22</v>
      </c>
      <c r="F76" s="41">
        <f>MEMÓRIA!D67</f>
        <v>7.45</v>
      </c>
      <c r="G76" s="14">
        <v>63.76</v>
      </c>
      <c r="H76" s="32">
        <f t="shared" si="65"/>
        <v>78.08687199999999</v>
      </c>
      <c r="I76" s="33">
        <f t="shared" si="66"/>
        <v>581.7471963999999</v>
      </c>
      <c r="J76" s="161"/>
      <c r="K76" s="6"/>
      <c r="L76" s="151">
        <f t="shared" si="67"/>
        <v>581.7471963999999</v>
      </c>
      <c r="M76" s="150"/>
      <c r="N76" s="6"/>
      <c r="O76" s="151">
        <f t="shared" si="68"/>
        <v>581.7471963999999</v>
      </c>
      <c r="P76" s="150">
        <v>53.76</v>
      </c>
      <c r="Q76" s="146">
        <f>P76*H76</f>
        <v>4197.950238719999</v>
      </c>
      <c r="R76" s="151">
        <f t="shared" si="69"/>
        <v>-3616.2030423199994</v>
      </c>
    </row>
    <row r="77" spans="1:18" ht="15">
      <c r="A77" s="36" t="s">
        <v>89</v>
      </c>
      <c r="B77" s="24" t="s">
        <v>112</v>
      </c>
      <c r="C77" s="11" t="s">
        <v>10</v>
      </c>
      <c r="D77" s="9" t="s">
        <v>111</v>
      </c>
      <c r="E77" s="24" t="s">
        <v>32</v>
      </c>
      <c r="F77" s="41">
        <f>MEMÓRIA!D68</f>
        <v>7.45</v>
      </c>
      <c r="G77" s="14">
        <v>66.55</v>
      </c>
      <c r="H77" s="32">
        <f t="shared" si="65"/>
        <v>81.503785</v>
      </c>
      <c r="I77" s="33">
        <f t="shared" si="66"/>
        <v>607.20319825</v>
      </c>
      <c r="J77" s="161"/>
      <c r="K77" s="6"/>
      <c r="L77" s="151">
        <f t="shared" si="67"/>
        <v>607.20319825</v>
      </c>
      <c r="M77" s="150"/>
      <c r="N77" s="6"/>
      <c r="O77" s="151">
        <f t="shared" si="68"/>
        <v>607.20319825</v>
      </c>
      <c r="P77" s="150">
        <v>318.67</v>
      </c>
      <c r="Q77" s="146">
        <f>P77*H77</f>
        <v>25972.81116595</v>
      </c>
      <c r="R77" s="151">
        <f t="shared" si="69"/>
        <v>-25365.607967699998</v>
      </c>
    </row>
    <row r="78" spans="1:18" ht="15">
      <c r="A78" s="36" t="s">
        <v>150</v>
      </c>
      <c r="B78" s="24" t="s">
        <v>113</v>
      </c>
      <c r="C78" s="11" t="s">
        <v>10</v>
      </c>
      <c r="D78" s="9" t="s">
        <v>246</v>
      </c>
      <c r="E78" s="24" t="s">
        <v>12</v>
      </c>
      <c r="F78" s="41">
        <f>MEMÓRIA!D69</f>
        <v>2.4</v>
      </c>
      <c r="G78" s="14">
        <v>107.09</v>
      </c>
      <c r="H78" s="32">
        <f t="shared" si="65"/>
        <v>131.153123</v>
      </c>
      <c r="I78" s="33">
        <f aca="true" t="shared" si="70" ref="I78">H78*F78</f>
        <v>314.7674952</v>
      </c>
      <c r="J78" s="176"/>
      <c r="K78" s="176"/>
      <c r="L78" s="177"/>
      <c r="M78" s="178"/>
      <c r="N78" s="176"/>
      <c r="O78" s="177"/>
      <c r="P78" s="178"/>
      <c r="Q78" s="179"/>
      <c r="R78" s="177"/>
    </row>
    <row r="79" spans="1:18" ht="21.75" customHeight="1">
      <c r="A79" s="92" t="s">
        <v>94</v>
      </c>
      <c r="B79" s="93"/>
      <c r="C79" s="93"/>
      <c r="D79" s="94" t="s">
        <v>115</v>
      </c>
      <c r="E79" s="95"/>
      <c r="F79" s="96"/>
      <c r="G79" s="97"/>
      <c r="H79" s="98"/>
      <c r="I79" s="100">
        <f>SUM(I80:I83)</f>
        <v>5708.3382121800005</v>
      </c>
      <c r="J79" s="154"/>
      <c r="K79" s="154"/>
      <c r="L79" s="155">
        <f t="shared" si="67"/>
        <v>5708.3382121800005</v>
      </c>
      <c r="M79" s="153"/>
      <c r="N79" s="154"/>
      <c r="O79" s="155"/>
      <c r="P79" s="153"/>
      <c r="Q79" s="154"/>
      <c r="R79" s="155"/>
    </row>
    <row r="80" spans="1:18" ht="15">
      <c r="A80" s="9" t="s">
        <v>95</v>
      </c>
      <c r="B80" s="38" t="s">
        <v>116</v>
      </c>
      <c r="C80" s="47" t="s">
        <v>10</v>
      </c>
      <c r="D80" s="40" t="s">
        <v>270</v>
      </c>
      <c r="E80" s="24" t="s">
        <v>32</v>
      </c>
      <c r="F80" s="41">
        <f>MEMÓRIA!D71</f>
        <v>138.5</v>
      </c>
      <c r="G80" s="14">
        <v>25.44</v>
      </c>
      <c r="H80" s="32">
        <f>G80*(1+$H$9)</f>
        <v>31.156368</v>
      </c>
      <c r="I80" s="33">
        <f aca="true" t="shared" si="71" ref="I80:I82">H80*F80</f>
        <v>4315.156968</v>
      </c>
      <c r="J80" s="161"/>
      <c r="K80" s="6"/>
      <c r="L80" s="151">
        <f aca="true" t="shared" si="72" ref="L80:L84">I80-K80</f>
        <v>4315.156968</v>
      </c>
      <c r="M80" s="150"/>
      <c r="N80" s="6"/>
      <c r="O80" s="151">
        <f aca="true" t="shared" si="73" ref="O80:O84">I80-K80-N80</f>
        <v>4315.156968</v>
      </c>
      <c r="P80" s="150">
        <v>151.61</v>
      </c>
      <c r="Q80" s="146">
        <v>4724.2</v>
      </c>
      <c r="R80" s="151">
        <f aca="true" t="shared" si="74" ref="R80:R82">L80-N80-Q80</f>
        <v>-409.0430319999996</v>
      </c>
    </row>
    <row r="81" spans="1:18" ht="30">
      <c r="A81" s="9" t="s">
        <v>96</v>
      </c>
      <c r="B81" s="157" t="s">
        <v>189</v>
      </c>
      <c r="C81" s="47" t="s">
        <v>10</v>
      </c>
      <c r="D81" s="159" t="s">
        <v>273</v>
      </c>
      <c r="E81" s="24" t="s">
        <v>32</v>
      </c>
      <c r="F81" s="41">
        <f>MEMÓRIA!D72</f>
        <v>17.22</v>
      </c>
      <c r="G81" s="14">
        <v>28.99</v>
      </c>
      <c r="H81" s="32">
        <f>G81*(1+$H$9)</f>
        <v>35.50405299999999</v>
      </c>
      <c r="I81" s="33">
        <f t="shared" si="71"/>
        <v>611.3797926599998</v>
      </c>
      <c r="J81" s="161"/>
      <c r="K81" s="6"/>
      <c r="L81" s="151">
        <f t="shared" si="72"/>
        <v>611.3797926599998</v>
      </c>
      <c r="M81" s="150"/>
      <c r="N81" s="6"/>
      <c r="O81" s="151">
        <f t="shared" si="73"/>
        <v>611.3797926599998</v>
      </c>
      <c r="P81" s="150"/>
      <c r="Q81" s="146">
        <f aca="true" t="shared" si="75" ref="Q81">P81*H81</f>
        <v>0</v>
      </c>
      <c r="R81" s="151">
        <f t="shared" si="74"/>
        <v>611.3797926599998</v>
      </c>
    </row>
    <row r="82" spans="1:18" ht="15">
      <c r="A82" s="9" t="s">
        <v>97</v>
      </c>
      <c r="B82" s="24" t="s">
        <v>118</v>
      </c>
      <c r="C82" s="24" t="s">
        <v>10</v>
      </c>
      <c r="D82" s="9" t="s">
        <v>117</v>
      </c>
      <c r="E82" s="24" t="s">
        <v>32</v>
      </c>
      <c r="F82" s="41">
        <f>MEMÓRIA!D73</f>
        <v>9.120000000000001</v>
      </c>
      <c r="G82" s="14">
        <v>39.48</v>
      </c>
      <c r="H82" s="32">
        <f>G82*(1+$H$9)</f>
        <v>48.35115599999999</v>
      </c>
      <c r="I82" s="33">
        <f t="shared" si="71"/>
        <v>440.96254271999993</v>
      </c>
      <c r="J82" s="161"/>
      <c r="K82" s="6"/>
      <c r="L82" s="151">
        <f t="shared" si="72"/>
        <v>440.96254271999993</v>
      </c>
      <c r="M82" s="150"/>
      <c r="N82" s="6"/>
      <c r="O82" s="151">
        <f t="shared" si="73"/>
        <v>440.96254271999993</v>
      </c>
      <c r="P82" s="150">
        <v>35.31</v>
      </c>
      <c r="Q82" s="146">
        <v>1707.09</v>
      </c>
      <c r="R82" s="151">
        <f t="shared" si="74"/>
        <v>-1266.12745728</v>
      </c>
    </row>
    <row r="83" spans="1:18" ht="30">
      <c r="A83" s="9" t="s">
        <v>98</v>
      </c>
      <c r="B83" s="157" t="s">
        <v>189</v>
      </c>
      <c r="C83" s="47" t="s">
        <v>10</v>
      </c>
      <c r="D83" s="159" t="s">
        <v>272</v>
      </c>
      <c r="E83" s="24" t="s">
        <v>32</v>
      </c>
      <c r="F83" s="41">
        <f>MEMÓRIA!D74</f>
        <v>9.600000000000001</v>
      </c>
      <c r="G83" s="14">
        <v>28.99</v>
      </c>
      <c r="H83" s="32">
        <f aca="true" t="shared" si="76" ref="H83">G83*(1+$H$9)</f>
        <v>35.50405299999999</v>
      </c>
      <c r="I83" s="33">
        <f aca="true" t="shared" si="77" ref="I83">H83*F83</f>
        <v>340.83890879999996</v>
      </c>
      <c r="J83" s="176"/>
      <c r="K83" s="176"/>
      <c r="L83" s="177"/>
      <c r="M83" s="178"/>
      <c r="N83" s="176"/>
      <c r="O83" s="177"/>
      <c r="P83" s="178"/>
      <c r="Q83" s="179"/>
      <c r="R83" s="177"/>
    </row>
    <row r="84" spans="1:18" ht="15">
      <c r="A84" s="92" t="s">
        <v>119</v>
      </c>
      <c r="B84" s="93"/>
      <c r="C84" s="93"/>
      <c r="D84" s="193" t="s">
        <v>191</v>
      </c>
      <c r="E84" s="95"/>
      <c r="F84" s="96"/>
      <c r="G84" s="97"/>
      <c r="H84" s="98"/>
      <c r="I84" s="100">
        <f>SUM(I85:I89)</f>
        <v>13667.201983985</v>
      </c>
      <c r="J84" s="154"/>
      <c r="K84" s="154"/>
      <c r="L84" s="155">
        <f t="shared" si="72"/>
        <v>13667.201983985</v>
      </c>
      <c r="M84" s="153"/>
      <c r="N84" s="154"/>
      <c r="O84" s="155">
        <f t="shared" si="73"/>
        <v>13667.201983985</v>
      </c>
      <c r="P84" s="153"/>
      <c r="Q84" s="154"/>
      <c r="R84" s="155"/>
    </row>
    <row r="85" spans="1:18" ht="30">
      <c r="A85" s="9" t="s">
        <v>122</v>
      </c>
      <c r="B85" s="24" t="s">
        <v>263</v>
      </c>
      <c r="C85" s="47" t="s">
        <v>10</v>
      </c>
      <c r="D85" s="10" t="s">
        <v>262</v>
      </c>
      <c r="E85" s="24" t="s">
        <v>32</v>
      </c>
      <c r="F85" s="41">
        <f>MEMÓRIA!D76</f>
        <v>100</v>
      </c>
      <c r="G85" s="14">
        <v>51.84</v>
      </c>
      <c r="H85" s="32">
        <f>G85*(1+$H$9)</f>
        <v>63.488448</v>
      </c>
      <c r="I85" s="33">
        <f aca="true" t="shared" si="78" ref="I85:I88">H85*F85</f>
        <v>6348.8448</v>
      </c>
      <c r="J85" s="161"/>
      <c r="K85" s="6"/>
      <c r="L85" s="151">
        <f aca="true" t="shared" si="79" ref="L85:L90">I85-K85</f>
        <v>6348.8448</v>
      </c>
      <c r="M85" s="150"/>
      <c r="N85" s="6"/>
      <c r="O85" s="151">
        <f aca="true" t="shared" si="80" ref="O85:O90">I85-K85-N85</f>
        <v>6348.8448</v>
      </c>
      <c r="P85" s="150"/>
      <c r="Q85" s="146">
        <f aca="true" t="shared" si="81" ref="Q85:Q88">P85*H85</f>
        <v>0</v>
      </c>
      <c r="R85" s="151">
        <f aca="true" t="shared" si="82" ref="R85:R88">L85-N85-Q85</f>
        <v>6348.8448</v>
      </c>
    </row>
    <row r="86" spans="1:18" ht="45">
      <c r="A86" s="9" t="s">
        <v>123</v>
      </c>
      <c r="B86" s="24" t="s">
        <v>121</v>
      </c>
      <c r="C86" s="47" t="s">
        <v>10</v>
      </c>
      <c r="D86" s="10" t="s">
        <v>120</v>
      </c>
      <c r="E86" s="24" t="s">
        <v>12</v>
      </c>
      <c r="F86" s="41">
        <f>MEMÓRIA!D77</f>
        <v>28</v>
      </c>
      <c r="G86" s="14">
        <v>77.84</v>
      </c>
      <c r="H86" s="32">
        <f>G86*(1+$H$9)</f>
        <v>95.330648</v>
      </c>
      <c r="I86" s="33">
        <f t="shared" si="78"/>
        <v>2669.258144</v>
      </c>
      <c r="J86" s="161"/>
      <c r="K86" s="6"/>
      <c r="L86" s="151">
        <f t="shared" si="79"/>
        <v>2669.258144</v>
      </c>
      <c r="M86" s="150"/>
      <c r="N86" s="6"/>
      <c r="O86" s="151">
        <f t="shared" si="80"/>
        <v>2669.258144</v>
      </c>
      <c r="P86" s="150"/>
      <c r="Q86" s="146">
        <f t="shared" si="81"/>
        <v>0</v>
      </c>
      <c r="R86" s="151">
        <f t="shared" si="82"/>
        <v>2669.258144</v>
      </c>
    </row>
    <row r="87" spans="1:18" ht="34.5" customHeight="1">
      <c r="A87" s="9" t="s">
        <v>124</v>
      </c>
      <c r="B87" s="24" t="s">
        <v>267</v>
      </c>
      <c r="C87" s="47" t="s">
        <v>10</v>
      </c>
      <c r="D87" s="10" t="s">
        <v>266</v>
      </c>
      <c r="E87" s="24" t="s">
        <v>32</v>
      </c>
      <c r="F87" s="41">
        <f>MEMÓRIA!D78</f>
        <v>24.375</v>
      </c>
      <c r="G87" s="14">
        <v>111.93</v>
      </c>
      <c r="H87" s="32">
        <f>G87*(1+$H$9)</f>
        <v>137.080671</v>
      </c>
      <c r="I87" s="33">
        <f t="shared" si="78"/>
        <v>3341.341355625</v>
      </c>
      <c r="J87" s="161"/>
      <c r="K87" s="6"/>
      <c r="L87" s="151">
        <f t="shared" si="79"/>
        <v>3341.341355625</v>
      </c>
      <c r="M87" s="150"/>
      <c r="N87" s="6"/>
      <c r="O87" s="151">
        <f t="shared" si="80"/>
        <v>3341.341355625</v>
      </c>
      <c r="P87" s="150"/>
      <c r="Q87" s="146">
        <f t="shared" si="81"/>
        <v>0</v>
      </c>
      <c r="R87" s="151">
        <f t="shared" si="82"/>
        <v>3341.341355625</v>
      </c>
    </row>
    <row r="88" spans="1:18" ht="15">
      <c r="A88" s="9" t="s">
        <v>125</v>
      </c>
      <c r="B88" s="24" t="s">
        <v>74</v>
      </c>
      <c r="C88" s="47" t="s">
        <v>10</v>
      </c>
      <c r="D88" s="10" t="s">
        <v>73</v>
      </c>
      <c r="E88" s="24" t="s">
        <v>32</v>
      </c>
      <c r="F88" s="41">
        <f>MEMÓRIA!D79</f>
        <v>3.36</v>
      </c>
      <c r="G88" s="14">
        <v>168.94</v>
      </c>
      <c r="H88" s="32">
        <f>G88*(1+$H$9)</f>
        <v>206.900818</v>
      </c>
      <c r="I88" s="33">
        <f t="shared" si="78"/>
        <v>695.1867484799999</v>
      </c>
      <c r="J88" s="161"/>
      <c r="K88" s="6"/>
      <c r="L88" s="151">
        <f t="shared" si="79"/>
        <v>695.1867484799999</v>
      </c>
      <c r="M88" s="150"/>
      <c r="N88" s="6"/>
      <c r="O88" s="151">
        <f t="shared" si="80"/>
        <v>695.1867484799999</v>
      </c>
      <c r="P88" s="150">
        <v>120.89</v>
      </c>
      <c r="Q88" s="146">
        <f t="shared" si="81"/>
        <v>25012.239888019998</v>
      </c>
      <c r="R88" s="151">
        <f t="shared" si="82"/>
        <v>-24317.05313954</v>
      </c>
    </row>
    <row r="89" spans="1:18" ht="15">
      <c r="A89" s="9" t="s">
        <v>151</v>
      </c>
      <c r="B89" s="24" t="s">
        <v>295</v>
      </c>
      <c r="C89" s="47" t="s">
        <v>10</v>
      </c>
      <c r="D89" s="10" t="s">
        <v>294</v>
      </c>
      <c r="E89" s="24" t="s">
        <v>32</v>
      </c>
      <c r="F89" s="41">
        <f>0.6*0.6</f>
        <v>0.36</v>
      </c>
      <c r="G89" s="14">
        <v>1389.39</v>
      </c>
      <c r="H89" s="32">
        <f>G89*(1+$H$9)</f>
        <v>1701.585933</v>
      </c>
      <c r="I89" s="33">
        <f aca="true" t="shared" si="83" ref="I89">H89*F89</f>
        <v>612.57093588</v>
      </c>
      <c r="J89" s="176"/>
      <c r="K89" s="176"/>
      <c r="L89" s="179"/>
      <c r="M89" s="176"/>
      <c r="N89" s="176"/>
      <c r="O89" s="197"/>
      <c r="P89" s="176"/>
      <c r="Q89" s="179"/>
      <c r="R89" s="179"/>
    </row>
    <row r="90" spans="1:15" ht="15">
      <c r="A90" s="49"/>
      <c r="B90" s="50"/>
      <c r="C90" s="50"/>
      <c r="D90" s="180"/>
      <c r="E90" s="217" t="s">
        <v>198</v>
      </c>
      <c r="F90" s="217"/>
      <c r="G90" s="217"/>
      <c r="H90" s="218"/>
      <c r="I90" s="183">
        <f>I84+I79+I74+I62+I50+I46+I41+I35+I30+I21+I13</f>
        <v>167000.023514776</v>
      </c>
      <c r="L90" s="147">
        <f t="shared" si="79"/>
        <v>167000.023514776</v>
      </c>
      <c r="O90" s="181">
        <f t="shared" si="80"/>
        <v>167000.023514776</v>
      </c>
    </row>
    <row r="91" spans="1:15" ht="15">
      <c r="A91" s="185"/>
      <c r="B91" s="186"/>
      <c r="C91" s="186"/>
      <c r="D91" s="185"/>
      <c r="E91" s="187"/>
      <c r="F91" s="187"/>
      <c r="G91" s="187"/>
      <c r="H91" s="187"/>
      <c r="I91" s="188"/>
      <c r="J91" s="156"/>
      <c r="K91" s="156"/>
      <c r="L91" s="156"/>
      <c r="O91" s="184"/>
    </row>
    <row r="92" spans="1:15" ht="15">
      <c r="A92" s="185"/>
      <c r="B92" s="186"/>
      <c r="C92" s="186"/>
      <c r="D92" s="185"/>
      <c r="E92" s="187"/>
      <c r="F92" s="187"/>
      <c r="G92" s="187"/>
      <c r="H92" s="187"/>
      <c r="I92" s="188"/>
      <c r="J92" s="156"/>
      <c r="K92" s="156"/>
      <c r="L92" s="156"/>
      <c r="O92" s="184"/>
    </row>
    <row r="93" spans="1:9" ht="15">
      <c r="A93" s="189"/>
      <c r="B93" s="190"/>
      <c r="C93" s="190"/>
      <c r="D93" s="189"/>
      <c r="E93" s="208" t="s">
        <v>276</v>
      </c>
      <c r="F93" s="208"/>
      <c r="G93" s="208"/>
      <c r="H93" s="208"/>
      <c r="I93" s="208"/>
    </row>
    <row r="94" spans="5:9" ht="15">
      <c r="E94" s="26"/>
      <c r="G94" s="26"/>
      <c r="H94" s="26"/>
      <c r="I94" s="26"/>
    </row>
    <row r="96" spans="5:9" ht="15">
      <c r="E96" s="209" t="s">
        <v>131</v>
      </c>
      <c r="F96" s="209"/>
      <c r="G96" s="209"/>
      <c r="H96" s="209"/>
      <c r="I96" s="209"/>
    </row>
    <row r="97" spans="5:9" ht="15">
      <c r="E97" s="209" t="s">
        <v>132</v>
      </c>
      <c r="F97" s="209"/>
      <c r="G97" s="209"/>
      <c r="H97" s="209"/>
      <c r="I97" s="209"/>
    </row>
    <row r="98" spans="5:9" ht="15">
      <c r="E98" s="209" t="s">
        <v>133</v>
      </c>
      <c r="F98" s="209"/>
      <c r="G98" s="209"/>
      <c r="H98" s="209"/>
      <c r="I98" s="209"/>
    </row>
    <row r="99" spans="5:9" ht="15">
      <c r="E99" s="209"/>
      <c r="F99" s="209"/>
      <c r="G99" s="209"/>
      <c r="H99" s="209"/>
      <c r="I99" s="209"/>
    </row>
  </sheetData>
  <mergeCells count="11">
    <mergeCell ref="P11:R11"/>
    <mergeCell ref="J11:L11"/>
    <mergeCell ref="M11:O11"/>
    <mergeCell ref="E97:I97"/>
    <mergeCell ref="E98:I98"/>
    <mergeCell ref="E90:H90"/>
    <mergeCell ref="E99:I99"/>
    <mergeCell ref="G7:G8"/>
    <mergeCell ref="E93:I93"/>
    <mergeCell ref="E96:I96"/>
    <mergeCell ref="A6:I6"/>
  </mergeCells>
  <conditionalFormatting sqref="A13:I13 A15:G15 E51:G56 E31:G31 C64 E64 B63:E63 I15:I18 A17:A27 B22:D24 I22:I28 I31 I20 E34:G39 A31:A39 I34:I39 A42:A45 E42:G45 I42:I45 A75:A77 C76:C77 I75:I77 F63:G67 I63:I68 A65:E67 I80:I82 I85:I88 I71:I72 A72:A73 E72:G73 A47:A49 I47:I49 E47:G49 E40 I51:I61 A51:A62 E58:G61">
    <cfRule type="expression" priority="400" dxfId="0">
      <formula>IF($L13="I",TRUE,FALSE)</formula>
    </cfRule>
    <cfRule type="expression" priority="401" dxfId="1">
      <formula>IF($L13="T",TRUE,FALSE)</formula>
    </cfRule>
  </conditionalFormatting>
  <conditionalFormatting sqref="C13 C15 C22:C24 C76:C77 C63:C67">
    <cfRule type="expression" priority="399" dxfId="72">
      <formula>IF($L13="I",TRUE,FALSE)</formula>
    </cfRule>
  </conditionalFormatting>
  <conditionalFormatting sqref="A41 I41 E41:G41">
    <cfRule type="expression" priority="383" dxfId="0">
      <formula>IF($L41="I",TRUE,FALSE)</formula>
    </cfRule>
    <cfRule type="expression" priority="384" dxfId="1">
      <formula>IF($L41="T",TRUE,FALSE)</formula>
    </cfRule>
  </conditionalFormatting>
  <conditionalFormatting sqref="E30:G30 I30 A30">
    <cfRule type="expression" priority="379" dxfId="0">
      <formula>IF($L30="I",TRUE,FALSE)</formula>
    </cfRule>
    <cfRule type="expression" priority="380" dxfId="1">
      <formula>IF($L30="T",TRUE,FALSE)</formula>
    </cfRule>
  </conditionalFormatting>
  <conditionalFormatting sqref="A46 I46 E46:G46">
    <cfRule type="expression" priority="377" dxfId="0">
      <formula>IF($L46="I",TRUE,FALSE)</formula>
    </cfRule>
    <cfRule type="expression" priority="378" dxfId="1">
      <formula>IF($L46="T",TRUE,FALSE)</formula>
    </cfRule>
  </conditionalFormatting>
  <conditionalFormatting sqref="A50 I50 E50:G50">
    <cfRule type="expression" priority="375" dxfId="0">
      <formula>IF($L50="I",TRUE,FALSE)</formula>
    </cfRule>
    <cfRule type="expression" priority="376" dxfId="1">
      <formula>IF($L50="T",TRUE,FALSE)</formula>
    </cfRule>
  </conditionalFormatting>
  <conditionalFormatting sqref="I62 E62:G62">
    <cfRule type="expression" priority="365" dxfId="0">
      <formula>IF($L62="I",TRUE,FALSE)</formula>
    </cfRule>
    <cfRule type="expression" priority="366" dxfId="1">
      <formula>IF($L62="T",TRUE,FALSE)</formula>
    </cfRule>
  </conditionalFormatting>
  <conditionalFormatting sqref="A74 I74 E74:G74">
    <cfRule type="expression" priority="350" dxfId="0">
      <formula>IF($L74="I",TRUE,FALSE)</formula>
    </cfRule>
    <cfRule type="expression" priority="351" dxfId="1">
      <formula>IF($L74="T",TRUE,FALSE)</formula>
    </cfRule>
  </conditionalFormatting>
  <conditionalFormatting sqref="I14 E14:G14 A14">
    <cfRule type="expression" priority="215" dxfId="0">
      <formula>IF($L14="I",TRUE,FALSE)</formula>
    </cfRule>
    <cfRule type="expression" priority="216" dxfId="1">
      <formula>IF($L14="T",TRUE,FALSE)</formula>
    </cfRule>
  </conditionalFormatting>
  <conditionalFormatting sqref="E16:G16 A16">
    <cfRule type="expression" priority="213" dxfId="0">
      <formula>IF($L16="I",TRUE,FALSE)</formula>
    </cfRule>
    <cfRule type="expression" priority="214" dxfId="1">
      <formula>IF($L16="T",TRUE,FALSE)</formula>
    </cfRule>
  </conditionalFormatting>
  <conditionalFormatting sqref="E17:G17">
    <cfRule type="expression" priority="209" dxfId="0">
      <formula>IF($L17="I",TRUE,FALSE)</formula>
    </cfRule>
    <cfRule type="expression" priority="210" dxfId="1">
      <formula>IF($L17="T",TRUE,FALSE)</formula>
    </cfRule>
  </conditionalFormatting>
  <conditionalFormatting sqref="E18:G18">
    <cfRule type="expression" priority="207" dxfId="0">
      <formula>IF($L18="I",TRUE,FALSE)</formula>
    </cfRule>
    <cfRule type="expression" priority="208" dxfId="1">
      <formula>IF($L18="T",TRUE,FALSE)</formula>
    </cfRule>
  </conditionalFormatting>
  <conditionalFormatting sqref="C20 E20:G20">
    <cfRule type="expression" priority="205" dxfId="0">
      <formula>IF($L20="I",TRUE,FALSE)</formula>
    </cfRule>
    <cfRule type="expression" priority="206" dxfId="1">
      <formula>IF($L20="T",TRUE,FALSE)</formula>
    </cfRule>
  </conditionalFormatting>
  <conditionalFormatting sqref="C20">
    <cfRule type="expression" priority="204" dxfId="72">
      <formula>IF($L20="I",TRUE,FALSE)</formula>
    </cfRule>
  </conditionalFormatting>
  <conditionalFormatting sqref="E21:G21 I21">
    <cfRule type="expression" priority="202" dxfId="0">
      <formula>IF($L21="I",TRUE,FALSE)</formula>
    </cfRule>
    <cfRule type="expression" priority="203" dxfId="1">
      <formula>IF($L21="T",TRUE,FALSE)</formula>
    </cfRule>
  </conditionalFormatting>
  <conditionalFormatting sqref="B25:D27">
    <cfRule type="expression" priority="194" dxfId="0">
      <formula>IF($L25="I",TRUE,FALSE)</formula>
    </cfRule>
    <cfRule type="expression" priority="195" dxfId="1">
      <formula>IF($L25="T",TRUE,FALSE)</formula>
    </cfRule>
  </conditionalFormatting>
  <conditionalFormatting sqref="C25:C27">
    <cfRule type="expression" priority="193" dxfId="72">
      <formula>IF($L25="I",TRUE,FALSE)</formula>
    </cfRule>
  </conditionalFormatting>
  <conditionalFormatting sqref="E57">
    <cfRule type="expression" priority="180" dxfId="0">
      <formula>IF($L57="I",TRUE,FALSE)</formula>
    </cfRule>
    <cfRule type="expression" priority="181" dxfId="1">
      <formula>IF($L57="T",TRUE,FALSE)</formula>
    </cfRule>
  </conditionalFormatting>
  <conditionalFormatting sqref="F57:G57">
    <cfRule type="expression" priority="182" dxfId="0">
      <formula>IF($L57="I",TRUE,FALSE)</formula>
    </cfRule>
    <cfRule type="expression" priority="183" dxfId="1">
      <formula>IF($L57="T",TRUE,FALSE)</formula>
    </cfRule>
  </conditionalFormatting>
  <conditionalFormatting sqref="A79 I79 E79:G79">
    <cfRule type="expression" priority="178" dxfId="0">
      <formula>IF($L79="I",TRUE,FALSE)</formula>
    </cfRule>
    <cfRule type="expression" priority="179" dxfId="1">
      <formula>IF($L79="T",TRUE,FALSE)</formula>
    </cfRule>
  </conditionalFormatting>
  <conditionalFormatting sqref="A28">
    <cfRule type="expression" priority="170" dxfId="0">
      <formula>IF($L28="I",TRUE,FALSE)</formula>
    </cfRule>
    <cfRule type="expression" priority="171" dxfId="1">
      <formula>IF($L28="T",TRUE,FALSE)</formula>
    </cfRule>
  </conditionalFormatting>
  <conditionalFormatting sqref="C28">
    <cfRule type="expression" priority="168" dxfId="0">
      <formula>IF($L28="I",TRUE,FALSE)</formula>
    </cfRule>
    <cfRule type="expression" priority="169" dxfId="1">
      <formula>IF($L28="T",TRUE,FALSE)</formula>
    </cfRule>
  </conditionalFormatting>
  <conditionalFormatting sqref="C28">
    <cfRule type="expression" priority="167" dxfId="72">
      <formula>IF($L28="I",TRUE,FALSE)</formula>
    </cfRule>
  </conditionalFormatting>
  <conditionalFormatting sqref="A84 I84 E84:G84">
    <cfRule type="expression" priority="144" dxfId="0">
      <formula>IF($L84="I",TRUE,FALSE)</formula>
    </cfRule>
    <cfRule type="expression" priority="145" dxfId="1">
      <formula>IF($L84="T",TRUE,FALSE)</formula>
    </cfRule>
  </conditionalFormatting>
  <conditionalFormatting sqref="B75:D75">
    <cfRule type="expression" priority="140" dxfId="0">
      <formula>IF($L75="I",TRUE,FALSE)</formula>
    </cfRule>
    <cfRule type="expression" priority="141" dxfId="1">
      <formula>IF($L75="T",TRUE,FALSE)</formula>
    </cfRule>
  </conditionalFormatting>
  <conditionalFormatting sqref="C75">
    <cfRule type="expression" priority="139" dxfId="72">
      <formula>IF($L75="I",TRUE,FALSE)</formula>
    </cfRule>
  </conditionalFormatting>
  <conditionalFormatting sqref="A63">
    <cfRule type="expression" priority="404" dxfId="0">
      <formula>IF($L64="I",TRUE,FALSE)</formula>
    </cfRule>
    <cfRule type="expression" priority="405" dxfId="1">
      <formula>IF($L64="T",TRUE,FALSE)</formula>
    </cfRule>
  </conditionalFormatting>
  <conditionalFormatting sqref="A68:A71">
    <cfRule type="expression" priority="82" dxfId="0">
      <formula>IF($L68="I",TRUE,FALSE)</formula>
    </cfRule>
    <cfRule type="expression" priority="83" dxfId="1">
      <formula>IF($L68="T",TRUE,FALSE)</formula>
    </cfRule>
  </conditionalFormatting>
  <conditionalFormatting sqref="E68:G68 E71:G71">
    <cfRule type="expression" priority="80" dxfId="0">
      <formula>IF($L68="I",TRUE,FALSE)</formula>
    </cfRule>
    <cfRule type="expression" priority="81" dxfId="1">
      <formula>IF($L68="T",TRUE,FALSE)</formula>
    </cfRule>
  </conditionalFormatting>
  <conditionalFormatting sqref="A64">
    <cfRule type="expression" priority="424" dxfId="0">
      <formula>IF(#REF!="I",TRUE,FALSE)</formula>
    </cfRule>
    <cfRule type="expression" priority="425" dxfId="1">
      <formula>IF(#REF!="T",TRUE,FALSE)</formula>
    </cfRule>
  </conditionalFormatting>
  <conditionalFormatting sqref="A65:A67">
    <cfRule type="expression" priority="426" dxfId="0">
      <formula>IF(#REF!="I",TRUE,FALSE)</formula>
    </cfRule>
    <cfRule type="expression" priority="427" dxfId="1">
      <formula>IF(#REF!="T",TRUE,FALSE)</formula>
    </cfRule>
  </conditionalFormatting>
  <conditionalFormatting sqref="A63">
    <cfRule type="expression" priority="71" dxfId="0">
      <formula>IF(#REF!="I",TRUE,FALSE)</formula>
    </cfRule>
    <cfRule type="expression" priority="72" dxfId="1">
      <formula>IF(#REF!="T",TRUE,FALSE)</formula>
    </cfRule>
  </conditionalFormatting>
  <conditionalFormatting sqref="A64">
    <cfRule type="expression" priority="73" dxfId="0">
      <formula>IF(#REF!="I",TRUE,FALSE)</formula>
    </cfRule>
    <cfRule type="expression" priority="74" dxfId="1">
      <formula>IF(#REF!="T",TRUE,FALSE)</formula>
    </cfRule>
  </conditionalFormatting>
  <conditionalFormatting sqref="I19">
    <cfRule type="expression" priority="41" dxfId="0">
      <formula>IF($L19="I",TRUE,FALSE)</formula>
    </cfRule>
    <cfRule type="expression" priority="42" dxfId="1">
      <formula>IF($L19="T",TRUE,FALSE)</formula>
    </cfRule>
  </conditionalFormatting>
  <conditionalFormatting sqref="E19:G19">
    <cfRule type="expression" priority="39" dxfId="0">
      <formula>IF($L19="I",TRUE,FALSE)</formula>
    </cfRule>
    <cfRule type="expression" priority="40" dxfId="1">
      <formula>IF($L19="T",TRUE,FALSE)</formula>
    </cfRule>
  </conditionalFormatting>
  <conditionalFormatting sqref="E32:G33 I32:I33">
    <cfRule type="expression" priority="37" dxfId="0">
      <formula>IF($L32="I",TRUE,FALSE)</formula>
    </cfRule>
    <cfRule type="expression" priority="38" dxfId="1">
      <formula>IF($L32="T",TRUE,FALSE)</formula>
    </cfRule>
  </conditionalFormatting>
  <conditionalFormatting sqref="A78 C78 I78">
    <cfRule type="expression" priority="35" dxfId="0">
      <formula>IF($L78="I",TRUE,FALSE)</formula>
    </cfRule>
    <cfRule type="expression" priority="36" dxfId="1">
      <formula>IF($L78="T",TRUE,FALSE)</formula>
    </cfRule>
  </conditionalFormatting>
  <conditionalFormatting sqref="C78">
    <cfRule type="expression" priority="34" dxfId="72">
      <formula>IF($L78="I",TRUE,FALSE)</formula>
    </cfRule>
  </conditionalFormatting>
  <conditionalFormatting sqref="I83">
    <cfRule type="expression" priority="26" dxfId="0">
      <formula>IF($L83="I",TRUE,FALSE)</formula>
    </cfRule>
    <cfRule type="expression" priority="27" dxfId="1">
      <formula>IF($L83="T",TRUE,FALSE)</formula>
    </cfRule>
  </conditionalFormatting>
  <conditionalFormatting sqref="I69:I70">
    <cfRule type="expression" priority="18" dxfId="0">
      <formula>IF($L69="I",TRUE,FALSE)</formula>
    </cfRule>
    <cfRule type="expression" priority="19" dxfId="1">
      <formula>IF($L69="T",TRUE,FALSE)</formula>
    </cfRule>
  </conditionalFormatting>
  <conditionalFormatting sqref="E69:G70">
    <cfRule type="expression" priority="16" dxfId="0">
      <formula>IF($L69="I",TRUE,FALSE)</formula>
    </cfRule>
    <cfRule type="expression" priority="17" dxfId="1">
      <formula>IF($L69="T",TRUE,FALSE)</formula>
    </cfRule>
  </conditionalFormatting>
  <conditionalFormatting sqref="I89">
    <cfRule type="expression" priority="14" dxfId="0">
      <formula>IF($L89="I",TRUE,FALSE)</formula>
    </cfRule>
    <cfRule type="expression" priority="15" dxfId="1">
      <formula>IF($L89="T",TRUE,FALSE)</formula>
    </cfRule>
  </conditionalFormatting>
  <conditionalFormatting sqref="I29">
    <cfRule type="expression" priority="12" dxfId="0">
      <formula>IF($L29="I",TRUE,FALSE)</formula>
    </cfRule>
    <cfRule type="expression" priority="13" dxfId="1">
      <formula>IF($L29="T",TRUE,FALSE)</formula>
    </cfRule>
  </conditionalFormatting>
  <conditionalFormatting sqref="A29">
    <cfRule type="expression" priority="10" dxfId="0">
      <formula>IF($L29="I",TRUE,FALSE)</formula>
    </cfRule>
    <cfRule type="expression" priority="11" dxfId="1">
      <formula>IF($L29="T",TRUE,FALSE)</formula>
    </cfRule>
  </conditionalFormatting>
  <conditionalFormatting sqref="C29">
    <cfRule type="expression" priority="8" dxfId="0">
      <formula>IF($L29="I",TRUE,FALSE)</formula>
    </cfRule>
    <cfRule type="expression" priority="9" dxfId="1">
      <formula>IF($L29="T",TRUE,FALSE)</formula>
    </cfRule>
  </conditionalFormatting>
  <conditionalFormatting sqref="C29">
    <cfRule type="expression" priority="7" dxfId="72">
      <formula>IF($L29="I",TRUE,FALSE)</formula>
    </cfRule>
  </conditionalFormatting>
  <conditionalFormatting sqref="F40:G40 I40">
    <cfRule type="expression" priority="5" dxfId="0">
      <formula>IF($L40="I",TRUE,FALSE)</formula>
    </cfRule>
    <cfRule type="expression" priority="6" dxfId="1">
      <formula>IF($L40="T",TRUE,FALSE)</formula>
    </cfRule>
  </conditionalFormatting>
  <conditionalFormatting sqref="A40">
    <cfRule type="expression" priority="3" dxfId="0">
      <formula>IF($L40="I",TRUE,FALSE)</formula>
    </cfRule>
    <cfRule type="expression" priority="4" dxfId="1">
      <formula>IF($L40="T",TRUE,FALSE)</formula>
    </cfRule>
  </conditionalFormatting>
  <conditionalFormatting sqref="I73">
    <cfRule type="expression" priority="1" dxfId="0">
      <formula>IF($L73="I",TRUE,FALSE)</formula>
    </cfRule>
    <cfRule type="expression" priority="2" dxfId="1">
      <formula>IF($L73="T",TRUE,FALSE)</formula>
    </cfRule>
  </conditionalFormatting>
  <printOptions horizontalCentered="1"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zoomScale="110" zoomScaleNormal="110" workbookViewId="0" topLeftCell="A52">
      <selection activeCell="J61" sqref="J61"/>
    </sheetView>
  </sheetViews>
  <sheetFormatPr defaultColWidth="9.140625" defaultRowHeight="15"/>
  <cols>
    <col min="2" max="2" width="57.00390625" style="0" customWidth="1"/>
    <col min="3" max="3" width="9.140625" style="51" customWidth="1"/>
    <col min="4" max="4" width="10.140625" style="71" customWidth="1"/>
    <col min="5" max="5" width="56.00390625" style="7" customWidth="1"/>
  </cols>
  <sheetData>
    <row r="1" spans="1:4" ht="15">
      <c r="A1" t="s">
        <v>2</v>
      </c>
      <c r="B1" t="s">
        <v>4</v>
      </c>
      <c r="C1" s="51" t="s">
        <v>16</v>
      </c>
      <c r="D1" s="71" t="s">
        <v>17</v>
      </c>
    </row>
    <row r="2" spans="1:5" ht="15">
      <c r="A2" s="78" t="s">
        <v>171</v>
      </c>
      <c r="B2" s="4" t="s">
        <v>13</v>
      </c>
      <c r="C2" s="67"/>
      <c r="D2" s="72"/>
      <c r="E2" s="25"/>
    </row>
    <row r="3" spans="1:5" ht="15">
      <c r="A3" s="8" t="s">
        <v>172</v>
      </c>
      <c r="B3" s="158" t="s">
        <v>162</v>
      </c>
      <c r="C3" s="6" t="s">
        <v>32</v>
      </c>
      <c r="D3" s="73">
        <f>(25.45+52.95)*4</f>
        <v>313.6</v>
      </c>
      <c r="E3" s="55" t="s">
        <v>207</v>
      </c>
    </row>
    <row r="4" spans="1:5" ht="15">
      <c r="A4" s="8" t="s">
        <v>173</v>
      </c>
      <c r="B4" s="8" t="s">
        <v>205</v>
      </c>
      <c r="C4" s="48" t="s">
        <v>34</v>
      </c>
      <c r="D4" s="73">
        <f>0.4*0.4*4*2</f>
        <v>1.2800000000000002</v>
      </c>
      <c r="E4" s="55" t="s">
        <v>208</v>
      </c>
    </row>
    <row r="5" spans="1:5" ht="75">
      <c r="A5" s="16" t="s">
        <v>174</v>
      </c>
      <c r="B5" s="10" t="s">
        <v>15</v>
      </c>
      <c r="C5" s="48" t="s">
        <v>34</v>
      </c>
      <c r="D5" s="73">
        <f>(23*0.2*0.15)+(0.9*2.1*0.15*4)+(1.5*3*0.15)+(0.7*2.1*0.15)</f>
        <v>2.7195</v>
      </c>
      <c r="E5" s="55" t="s">
        <v>216</v>
      </c>
    </row>
    <row r="6" spans="1:5" ht="30">
      <c r="A6" s="59" t="s">
        <v>175</v>
      </c>
      <c r="B6" s="10" t="s">
        <v>30</v>
      </c>
      <c r="C6" s="68" t="s">
        <v>12</v>
      </c>
      <c r="D6" s="74">
        <f>(0.9+2.1+2.1)*4</f>
        <v>20.4</v>
      </c>
      <c r="E6" s="58" t="s">
        <v>210</v>
      </c>
    </row>
    <row r="7" spans="1:5" s="57" customFormat="1" ht="15">
      <c r="A7" s="56" t="s">
        <v>176</v>
      </c>
      <c r="B7" s="9" t="s">
        <v>18</v>
      </c>
      <c r="C7" s="48" t="s">
        <v>149</v>
      </c>
      <c r="D7" s="73">
        <v>4</v>
      </c>
      <c r="E7" s="55" t="s">
        <v>209</v>
      </c>
    </row>
    <row r="8" spans="1:5" s="57" customFormat="1" ht="15">
      <c r="A8" s="56" t="s">
        <v>177</v>
      </c>
      <c r="B8" s="9" t="s">
        <v>14</v>
      </c>
      <c r="C8" s="48" t="s">
        <v>21</v>
      </c>
      <c r="D8" s="73">
        <v>2.25</v>
      </c>
      <c r="E8" s="55" t="s">
        <v>215</v>
      </c>
    </row>
    <row r="9" spans="1:5" s="57" customFormat="1" ht="45">
      <c r="A9" s="52" t="s">
        <v>178</v>
      </c>
      <c r="B9" s="10" t="s">
        <v>167</v>
      </c>
      <c r="C9" s="46" t="s">
        <v>34</v>
      </c>
      <c r="D9" s="75">
        <f>(313.6*0.02)+1.28+2.72+(20.4*0.15*0.04)+(0.9*2.1*0.04)+(2.25*0.05)</f>
        <v>10.582500000000001</v>
      </c>
      <c r="E9" s="45" t="s">
        <v>217</v>
      </c>
    </row>
    <row r="10" spans="1:5" s="57" customFormat="1" ht="15">
      <c r="A10" s="84" t="s">
        <v>134</v>
      </c>
      <c r="B10" s="167" t="str">
        <f>Planilha1!D21</f>
        <v>INFRAESTRUTURA E SUPERESTRUTURA MURO E AMPLIAÇÃO</v>
      </c>
      <c r="C10" s="67"/>
      <c r="D10" s="72"/>
      <c r="E10" s="25"/>
    </row>
    <row r="11" spans="1:5" s="57" customFormat="1" ht="30">
      <c r="A11" s="52" t="s">
        <v>23</v>
      </c>
      <c r="B11" s="10" t="s">
        <v>99</v>
      </c>
      <c r="C11" s="38" t="s">
        <v>35</v>
      </c>
      <c r="D11" s="73">
        <f>(25.5*0.2*0.3)+(8.45*0.2*0.3)</f>
        <v>2.037</v>
      </c>
      <c r="E11" s="55" t="s">
        <v>224</v>
      </c>
    </row>
    <row r="12" spans="1:5" s="57" customFormat="1" ht="15">
      <c r="A12" s="52" t="s">
        <v>24</v>
      </c>
      <c r="B12" s="40" t="s">
        <v>100</v>
      </c>
      <c r="C12" s="38" t="s">
        <v>35</v>
      </c>
      <c r="D12" s="73">
        <f>D11</f>
        <v>2.037</v>
      </c>
      <c r="E12" s="55" t="s">
        <v>224</v>
      </c>
    </row>
    <row r="13" spans="1:5" s="57" customFormat="1" ht="30">
      <c r="A13" s="52" t="s">
        <v>25</v>
      </c>
      <c r="B13" s="10" t="s">
        <v>101</v>
      </c>
      <c r="C13" s="38" t="s">
        <v>35</v>
      </c>
      <c r="D13" s="73">
        <f>D11</f>
        <v>2.037</v>
      </c>
      <c r="E13" s="55" t="s">
        <v>224</v>
      </c>
    </row>
    <row r="14" spans="1:5" s="57" customFormat="1" ht="15">
      <c r="A14" s="52" t="s">
        <v>26</v>
      </c>
      <c r="B14" s="40" t="s">
        <v>102</v>
      </c>
      <c r="C14" s="38" t="s">
        <v>32</v>
      </c>
      <c r="D14" s="73">
        <f>33.95*0.3*2</f>
        <v>20.37</v>
      </c>
      <c r="E14" s="55" t="s">
        <v>225</v>
      </c>
    </row>
    <row r="15" spans="1:5" s="57" customFormat="1" ht="15">
      <c r="A15" s="52" t="s">
        <v>27</v>
      </c>
      <c r="B15" s="40" t="s">
        <v>103</v>
      </c>
      <c r="C15" s="38" t="s">
        <v>22</v>
      </c>
      <c r="D15" s="73">
        <f>D12*80</f>
        <v>162.95999999999998</v>
      </c>
      <c r="E15" s="55" t="s">
        <v>211</v>
      </c>
    </row>
    <row r="16" spans="1:5" s="57" customFormat="1" ht="30">
      <c r="A16" s="52" t="s">
        <v>28</v>
      </c>
      <c r="B16" s="40" t="str">
        <f>'[2]desonerado-181'!$B$669</f>
        <v>Broca em concreto armado diâmetro de 20 cm - completa</v>
      </c>
      <c r="C16" s="38" t="s">
        <v>12</v>
      </c>
      <c r="D16" s="73">
        <f>18*3</f>
        <v>54</v>
      </c>
      <c r="E16" s="55" t="s">
        <v>219</v>
      </c>
    </row>
    <row r="17" spans="1:5" s="57" customFormat="1" ht="60">
      <c r="A17" s="52" t="s">
        <v>29</v>
      </c>
      <c r="B17" s="9" t="s">
        <v>109</v>
      </c>
      <c r="C17" s="38" t="s">
        <v>34</v>
      </c>
      <c r="D17" s="75">
        <f>(18*0.2*0.15)+(33.95*0.15*0.2)+(33.95*0.15*0.2)</f>
        <v>2.5770000000000004</v>
      </c>
      <c r="E17" s="55" t="s">
        <v>226</v>
      </c>
    </row>
    <row r="18" spans="1:5" s="57" customFormat="1" ht="75">
      <c r="A18" s="52" t="s">
        <v>152</v>
      </c>
      <c r="B18" s="9" t="s">
        <v>109</v>
      </c>
      <c r="C18" s="38" t="s">
        <v>34</v>
      </c>
      <c r="D18" s="75">
        <f>0.65+0.54+0.21+0.07+3.16+1.28+0.64</f>
        <v>6.55</v>
      </c>
      <c r="E18" s="55" t="s">
        <v>302</v>
      </c>
    </row>
    <row r="19" spans="1:5" ht="15">
      <c r="A19" s="84" t="s">
        <v>36</v>
      </c>
      <c r="B19" s="19" t="s">
        <v>50</v>
      </c>
      <c r="C19" s="69"/>
      <c r="D19" s="76"/>
      <c r="E19" s="102"/>
    </row>
    <row r="20" spans="1:5" ht="30">
      <c r="A20" s="8" t="s">
        <v>37</v>
      </c>
      <c r="B20" s="10" t="s">
        <v>54</v>
      </c>
      <c r="C20" s="6" t="s">
        <v>32</v>
      </c>
      <c r="D20" s="23">
        <f>(8.45*3)</f>
        <v>25.349999999999998</v>
      </c>
      <c r="E20" s="5" t="s">
        <v>236</v>
      </c>
    </row>
    <row r="21" spans="1:5" ht="30">
      <c r="A21" s="27" t="s">
        <v>43</v>
      </c>
      <c r="B21" s="159" t="s">
        <v>222</v>
      </c>
      <c r="C21" s="6" t="s">
        <v>21</v>
      </c>
      <c r="D21" s="23">
        <f>4.85*12*1.5</f>
        <v>87.3</v>
      </c>
      <c r="E21" s="5" t="s">
        <v>227</v>
      </c>
    </row>
    <row r="22" spans="1:5" ht="60">
      <c r="A22" s="27" t="s">
        <v>154</v>
      </c>
      <c r="B22" s="10" t="s">
        <v>220</v>
      </c>
      <c r="C22" s="6" t="s">
        <v>21</v>
      </c>
      <c r="D22" s="23">
        <f>(4.85*12*1.3)+(10.7*2*2.8)+(6.2*2*2.8)+(9.45*1.25)+(25.5*2.2)+(0.9*2.1*4)</f>
        <v>245.77249999999998</v>
      </c>
      <c r="E22" s="5" t="s">
        <v>235</v>
      </c>
    </row>
    <row r="23" spans="1:5" ht="15">
      <c r="A23" s="27" t="s">
        <v>230</v>
      </c>
      <c r="B23" s="22" t="s">
        <v>212</v>
      </c>
      <c r="C23" s="6" t="s">
        <v>32</v>
      </c>
      <c r="D23" s="23">
        <f>(1.5+0.8+0.8+0.85+0.85)*1.8</f>
        <v>8.64</v>
      </c>
      <c r="E23" s="5" t="s">
        <v>240</v>
      </c>
    </row>
    <row r="24" spans="1:5" ht="15">
      <c r="A24" s="17" t="s">
        <v>51</v>
      </c>
      <c r="B24" s="18" t="s">
        <v>38</v>
      </c>
      <c r="C24" s="67"/>
      <c r="D24" s="72"/>
      <c r="E24" s="25"/>
    </row>
    <row r="25" spans="1:5" ht="59.25" customHeight="1">
      <c r="A25" s="8" t="s">
        <v>52</v>
      </c>
      <c r="B25" s="5" t="s">
        <v>39</v>
      </c>
      <c r="C25" s="6" t="s">
        <v>32</v>
      </c>
      <c r="D25" s="23">
        <v>3.3</v>
      </c>
      <c r="E25" s="10" t="s">
        <v>231</v>
      </c>
    </row>
    <row r="26" spans="1:5" ht="30">
      <c r="A26" s="60" t="s">
        <v>53</v>
      </c>
      <c r="B26" s="22" t="s">
        <v>93</v>
      </c>
      <c r="C26" s="6" t="s">
        <v>41</v>
      </c>
      <c r="D26" s="23">
        <f>0.9+0.8+0.9+0.7+1.7+1.7</f>
        <v>6.7</v>
      </c>
      <c r="E26" s="5" t="s">
        <v>229</v>
      </c>
    </row>
    <row r="27" spans="1:5" ht="15">
      <c r="A27" s="36" t="s">
        <v>168</v>
      </c>
      <c r="B27" s="3" t="s">
        <v>135</v>
      </c>
      <c r="C27" s="6" t="s">
        <v>35</v>
      </c>
      <c r="D27" s="23">
        <f>33.4*0.07</f>
        <v>2.338</v>
      </c>
      <c r="E27" s="5" t="s">
        <v>248</v>
      </c>
    </row>
    <row r="28" spans="1:5" ht="15">
      <c r="A28" s="36" t="s">
        <v>179</v>
      </c>
      <c r="B28" s="3" t="s">
        <v>164</v>
      </c>
      <c r="C28" s="6" t="s">
        <v>34</v>
      </c>
      <c r="D28" s="23">
        <f>3.3*0.07</f>
        <v>0.231</v>
      </c>
      <c r="E28" s="5" t="s">
        <v>228</v>
      </c>
    </row>
    <row r="29" spans="1:5" ht="30">
      <c r="A29" s="36" t="s">
        <v>180</v>
      </c>
      <c r="B29" s="3" t="str">
        <f>Planilha1!D40</f>
        <v>Cimentado desempenado</v>
      </c>
      <c r="C29" s="6" t="s">
        <v>21</v>
      </c>
      <c r="D29" s="23">
        <v>11.65</v>
      </c>
      <c r="E29" s="5" t="s">
        <v>306</v>
      </c>
    </row>
    <row r="30" spans="1:5" ht="15">
      <c r="A30" s="17" t="s">
        <v>56</v>
      </c>
      <c r="B30" s="18" t="s">
        <v>42</v>
      </c>
      <c r="C30" s="67"/>
      <c r="D30" s="72"/>
      <c r="E30" s="25"/>
    </row>
    <row r="31" spans="1:5" ht="53.25" customHeight="1">
      <c r="A31" s="8" t="s">
        <v>58</v>
      </c>
      <c r="B31" s="109" t="s">
        <v>46</v>
      </c>
      <c r="C31" s="110" t="s">
        <v>32</v>
      </c>
      <c r="D31" s="111">
        <f>11.6+7.56+34.5</f>
        <v>53.66</v>
      </c>
      <c r="E31" s="112" t="s">
        <v>260</v>
      </c>
    </row>
    <row r="32" spans="1:5" ht="45">
      <c r="A32" s="8" t="s">
        <v>59</v>
      </c>
      <c r="B32" s="109" t="s">
        <v>44</v>
      </c>
      <c r="C32" s="110" t="s">
        <v>32</v>
      </c>
      <c r="D32" s="111">
        <f>11.6+7.56+34.5</f>
        <v>53.66</v>
      </c>
      <c r="E32" s="112" t="s">
        <v>260</v>
      </c>
    </row>
    <row r="33" spans="1:5" s="21" customFormat="1" ht="45">
      <c r="A33" s="8" t="s">
        <v>181</v>
      </c>
      <c r="B33" s="9" t="s">
        <v>47</v>
      </c>
      <c r="C33" s="24" t="s">
        <v>32</v>
      </c>
      <c r="D33" s="103">
        <f>11.6+1.89+4.25</f>
        <v>17.740000000000002</v>
      </c>
      <c r="E33" s="112" t="s">
        <v>261</v>
      </c>
    </row>
    <row r="34" spans="1:5" ht="35.25" customHeight="1">
      <c r="A34" s="8" t="s">
        <v>182</v>
      </c>
      <c r="B34" s="10" t="str">
        <f>Planilha1!D45</f>
        <v>Revestimento em placa cerâmica esmaltada, tipo monoporosa,
assentado e rejuntado com argamassa industrializada</v>
      </c>
      <c r="C34" s="110" t="s">
        <v>32</v>
      </c>
      <c r="D34" s="111">
        <f>(17.6+14.1+7.4)*2</f>
        <v>78.2</v>
      </c>
      <c r="E34" s="113" t="s">
        <v>234</v>
      </c>
    </row>
    <row r="35" spans="1:5" ht="15">
      <c r="A35" s="92" t="s">
        <v>60</v>
      </c>
      <c r="B35" s="18" t="s">
        <v>57</v>
      </c>
      <c r="C35" s="67"/>
      <c r="D35" s="72"/>
      <c r="E35" s="25"/>
    </row>
    <row r="36" spans="1:5" ht="15">
      <c r="A36" s="8" t="s">
        <v>61</v>
      </c>
      <c r="B36" s="9" t="s">
        <v>137</v>
      </c>
      <c r="C36" s="11" t="s">
        <v>16</v>
      </c>
      <c r="D36" s="23">
        <v>1</v>
      </c>
      <c r="E36" s="5" t="s">
        <v>237</v>
      </c>
    </row>
    <row r="37" spans="1:5" ht="15">
      <c r="A37" s="8" t="s">
        <v>66</v>
      </c>
      <c r="B37" s="9" t="s">
        <v>296</v>
      </c>
      <c r="C37" s="11" t="s">
        <v>32</v>
      </c>
      <c r="D37" s="23">
        <f>(0.9*2.1*2)+0.7*2.1</f>
        <v>5.25</v>
      </c>
      <c r="E37" s="5" t="s">
        <v>298</v>
      </c>
    </row>
    <row r="38" spans="1:5" ht="15">
      <c r="A38" s="8" t="s">
        <v>71</v>
      </c>
      <c r="B38" s="158" t="s">
        <v>238</v>
      </c>
      <c r="C38" s="11" t="s">
        <v>16</v>
      </c>
      <c r="D38" s="23">
        <v>3</v>
      </c>
      <c r="E38" s="5" t="s">
        <v>241</v>
      </c>
    </row>
    <row r="39" spans="1:5" ht="15">
      <c r="A39" s="92" t="s">
        <v>72</v>
      </c>
      <c r="B39" s="18" t="s">
        <v>148</v>
      </c>
      <c r="C39" s="67"/>
      <c r="D39" s="72"/>
      <c r="E39" s="25"/>
    </row>
    <row r="40" spans="1:5" ht="15">
      <c r="A40" s="8" t="s">
        <v>75</v>
      </c>
      <c r="B40" s="3" t="s">
        <v>62</v>
      </c>
      <c r="C40" s="6" t="s">
        <v>20</v>
      </c>
      <c r="D40" s="23">
        <v>2</v>
      </c>
      <c r="E40" s="5" t="s">
        <v>249</v>
      </c>
    </row>
    <row r="41" spans="1:5" ht="15">
      <c r="A41" s="8" t="s">
        <v>143</v>
      </c>
      <c r="B41" s="3" t="s">
        <v>64</v>
      </c>
      <c r="C41" s="6" t="s">
        <v>20</v>
      </c>
      <c r="D41" s="23">
        <v>2</v>
      </c>
      <c r="E41" s="5" t="s">
        <v>249</v>
      </c>
    </row>
    <row r="42" spans="1:5" ht="30">
      <c r="A42" s="8" t="s">
        <v>144</v>
      </c>
      <c r="B42" s="5" t="s">
        <v>67</v>
      </c>
      <c r="C42" s="6" t="s">
        <v>16</v>
      </c>
      <c r="D42" s="23">
        <v>4</v>
      </c>
      <c r="E42" s="5"/>
    </row>
    <row r="43" spans="1:5" ht="15">
      <c r="A43" s="8" t="s">
        <v>145</v>
      </c>
      <c r="B43" t="s">
        <v>69</v>
      </c>
      <c r="C43" s="6" t="s">
        <v>16</v>
      </c>
      <c r="D43" s="23">
        <v>4</v>
      </c>
      <c r="E43" s="5"/>
    </row>
    <row r="44" spans="1:5" ht="30">
      <c r="A44" s="52" t="s">
        <v>146</v>
      </c>
      <c r="B44" s="5" t="s">
        <v>139</v>
      </c>
      <c r="C44" s="6" t="s">
        <v>114</v>
      </c>
      <c r="D44" s="23">
        <v>1</v>
      </c>
      <c r="E44" s="5"/>
    </row>
    <row r="45" spans="1:5" ht="30">
      <c r="A45" s="52" t="s">
        <v>147</v>
      </c>
      <c r="B45" s="5" t="s">
        <v>141</v>
      </c>
      <c r="C45" s="6" t="s">
        <v>114</v>
      </c>
      <c r="D45" s="23">
        <v>2</v>
      </c>
      <c r="E45" s="5"/>
    </row>
    <row r="46" spans="1:5" ht="15">
      <c r="A46" s="8" t="s">
        <v>192</v>
      </c>
      <c r="B46" t="s">
        <v>128</v>
      </c>
      <c r="C46" s="6" t="s">
        <v>149</v>
      </c>
      <c r="D46" s="23">
        <v>5</v>
      </c>
      <c r="E46" s="5" t="s">
        <v>250</v>
      </c>
    </row>
    <row r="47" spans="1:5" ht="15">
      <c r="A47" s="8"/>
      <c r="B47" s="9" t="s">
        <v>251</v>
      </c>
      <c r="C47" s="6" t="s">
        <v>149</v>
      </c>
      <c r="D47" s="23">
        <v>4</v>
      </c>
      <c r="E47" s="164"/>
    </row>
    <row r="48" spans="1:5" ht="30">
      <c r="A48" s="8"/>
      <c r="B48" s="10" t="s">
        <v>278</v>
      </c>
      <c r="C48" s="11" t="s">
        <v>16</v>
      </c>
      <c r="D48" s="23">
        <v>2</v>
      </c>
      <c r="E48" s="164" t="s">
        <v>231</v>
      </c>
    </row>
    <row r="49" spans="1:5" ht="30">
      <c r="A49" s="8"/>
      <c r="B49" s="10" t="s">
        <v>281</v>
      </c>
      <c r="C49" s="11" t="s">
        <v>16</v>
      </c>
      <c r="D49" s="23">
        <v>4</v>
      </c>
      <c r="E49" s="164"/>
    </row>
    <row r="50" spans="1:5" ht="30">
      <c r="A50" s="8"/>
      <c r="B50" s="10" t="s">
        <v>126</v>
      </c>
      <c r="C50" s="11" t="s">
        <v>16</v>
      </c>
      <c r="D50" s="23">
        <v>4</v>
      </c>
      <c r="E50" s="164"/>
    </row>
    <row r="51" spans="1:5" ht="15">
      <c r="A51" s="101"/>
      <c r="B51" s="191"/>
      <c r="C51" s="11"/>
      <c r="D51" s="23"/>
      <c r="E51" s="164"/>
    </row>
    <row r="52" spans="1:5" ht="15">
      <c r="A52" s="101"/>
      <c r="B52" s="191"/>
      <c r="C52" s="11"/>
      <c r="D52" s="23"/>
      <c r="E52" s="164"/>
    </row>
    <row r="53" spans="1:5" ht="15">
      <c r="A53" s="92" t="s">
        <v>76</v>
      </c>
      <c r="B53" s="18" t="s">
        <v>77</v>
      </c>
      <c r="C53" s="67"/>
      <c r="D53" s="72"/>
      <c r="E53" s="25"/>
    </row>
    <row r="54" spans="1:5" ht="25.5">
      <c r="A54" s="8" t="s">
        <v>80</v>
      </c>
      <c r="B54" s="8" t="str">
        <f>Planilha1!D63</f>
        <v>Luminária retangular de sobrepor tipo calha fechada, com difusor
translúcido, para 2 lâmpadas fluorescentes de 28 W/32 W/36 W/54 W</v>
      </c>
      <c r="C54" s="6" t="s">
        <v>20</v>
      </c>
      <c r="D54" s="2">
        <v>7</v>
      </c>
      <c r="E54" s="1"/>
    </row>
    <row r="55" spans="1:5" ht="75">
      <c r="A55" s="8" t="s">
        <v>81</v>
      </c>
      <c r="B55" s="5" t="s">
        <v>184</v>
      </c>
      <c r="C55" s="6" t="s">
        <v>20</v>
      </c>
      <c r="D55" s="2">
        <v>14</v>
      </c>
      <c r="E55" s="1"/>
    </row>
    <row r="56" spans="1:5" ht="15">
      <c r="A56" s="8" t="s">
        <v>82</v>
      </c>
      <c r="B56" s="8" t="s">
        <v>78</v>
      </c>
      <c r="C56" s="6" t="s">
        <v>20</v>
      </c>
      <c r="D56" s="2">
        <v>4</v>
      </c>
      <c r="E56" s="1"/>
    </row>
    <row r="57" spans="1:5" ht="15">
      <c r="A57" s="8" t="s">
        <v>83</v>
      </c>
      <c r="B57" s="8" t="s">
        <v>257</v>
      </c>
      <c r="C57" s="6" t="s">
        <v>20</v>
      </c>
      <c r="D57" s="2">
        <v>4</v>
      </c>
      <c r="E57" s="1" t="s">
        <v>259</v>
      </c>
    </row>
    <row r="58" spans="1:5" ht="25.5">
      <c r="A58" s="8" t="s">
        <v>159</v>
      </c>
      <c r="B58" s="8" t="str">
        <f>Planilha1!D67</f>
        <v>Cabo de cobre de 1,5 mm², isolamento 750 V ‐ isolação em PVC 70°C</v>
      </c>
      <c r="C58" s="6" t="s">
        <v>12</v>
      </c>
      <c r="D58" s="2">
        <v>50</v>
      </c>
      <c r="E58" s="192"/>
    </row>
    <row r="59" spans="1:5" ht="25.5">
      <c r="A59" s="8" t="s">
        <v>187</v>
      </c>
      <c r="B59" s="8" t="str">
        <f>Planilha1!D68</f>
        <v>Cabo de cobre de 4 mm², isolamento 750 V ‐ isolação em PVC 70°C</v>
      </c>
      <c r="C59" s="6" t="s">
        <v>12</v>
      </c>
      <c r="D59" s="2">
        <v>100</v>
      </c>
      <c r="E59" s="192"/>
    </row>
    <row r="60" spans="1:5" ht="29.25" customHeight="1">
      <c r="A60" s="8" t="s">
        <v>290</v>
      </c>
      <c r="B60" s="10" t="s">
        <v>285</v>
      </c>
      <c r="C60" s="11" t="s">
        <v>12</v>
      </c>
      <c r="D60" s="2">
        <v>150</v>
      </c>
      <c r="E60" s="165"/>
    </row>
    <row r="61" spans="1:5" ht="30">
      <c r="A61" s="8" t="s">
        <v>291</v>
      </c>
      <c r="B61" s="10" t="s">
        <v>286</v>
      </c>
      <c r="C61" s="11" t="s">
        <v>12</v>
      </c>
      <c r="D61" s="2">
        <v>50</v>
      </c>
      <c r="E61" s="196" t="s">
        <v>288</v>
      </c>
    </row>
    <row r="62" spans="1:5" ht="30">
      <c r="A62" s="8" t="s">
        <v>292</v>
      </c>
      <c r="B62" s="10" t="s">
        <v>283</v>
      </c>
      <c r="C62" s="11" t="s">
        <v>16</v>
      </c>
      <c r="D62" s="2">
        <v>1</v>
      </c>
      <c r="E62" s="196"/>
    </row>
    <row r="63" spans="1:5" ht="30">
      <c r="A63" s="8" t="s">
        <v>293</v>
      </c>
      <c r="B63" s="10" t="s">
        <v>284</v>
      </c>
      <c r="C63" s="11" t="s">
        <v>16</v>
      </c>
      <c r="D63" s="2">
        <v>6</v>
      </c>
      <c r="E63" s="196"/>
    </row>
    <row r="64" spans="1:5" ht="45">
      <c r="A64" s="20" t="s">
        <v>307</v>
      </c>
      <c r="B64" s="10" t="str">
        <f>Planilha1!D73</f>
        <v>ENTRADA DE ENERGIA ELÉTRICA, AÉREA, TRIFÁSICA, COM CAIXA DE SOBREPOR CABO DE 16 MM2 E DISJUNTOR DIN 50A (NÃO INCLUSO O POSTE DE CONCRETO). AF_07/2020_PS</v>
      </c>
      <c r="C64" s="11"/>
      <c r="D64" s="2"/>
      <c r="E64" s="196" t="s">
        <v>308</v>
      </c>
    </row>
    <row r="65" spans="1:5" ht="15">
      <c r="A65" s="92" t="s">
        <v>85</v>
      </c>
      <c r="B65" s="18" t="s">
        <v>86</v>
      </c>
      <c r="C65" s="67"/>
      <c r="D65" s="72"/>
      <c r="E65" s="25"/>
    </row>
    <row r="66" spans="1:5" ht="25.5">
      <c r="A66" s="36" t="s">
        <v>87</v>
      </c>
      <c r="B66" s="36" t="s">
        <v>242</v>
      </c>
      <c r="C66" s="24" t="s">
        <v>32</v>
      </c>
      <c r="D66" s="44">
        <v>7.45</v>
      </c>
      <c r="E66" s="39" t="s">
        <v>190</v>
      </c>
    </row>
    <row r="67" spans="1:5" ht="30">
      <c r="A67" s="36" t="s">
        <v>88</v>
      </c>
      <c r="B67" s="10" t="s">
        <v>244</v>
      </c>
      <c r="C67" s="24" t="s">
        <v>32</v>
      </c>
      <c r="D67" s="23">
        <v>7.45</v>
      </c>
      <c r="E67" s="1" t="s">
        <v>190</v>
      </c>
    </row>
    <row r="68" spans="1:5" ht="15">
      <c r="A68" s="60" t="s">
        <v>89</v>
      </c>
      <c r="B68" s="9" t="s">
        <v>111</v>
      </c>
      <c r="C68" s="24" t="s">
        <v>32</v>
      </c>
      <c r="D68" s="23">
        <v>7.45</v>
      </c>
      <c r="E68" s="1" t="s">
        <v>190</v>
      </c>
    </row>
    <row r="69" spans="1:5" ht="15">
      <c r="A69" s="175" t="s">
        <v>150</v>
      </c>
      <c r="B69" s="9" t="s">
        <v>246</v>
      </c>
      <c r="C69" s="24" t="s">
        <v>12</v>
      </c>
      <c r="D69" s="23">
        <v>2.4</v>
      </c>
      <c r="E69" s="1" t="s">
        <v>247</v>
      </c>
    </row>
    <row r="70" spans="1:5" ht="15">
      <c r="A70" s="92" t="s">
        <v>94</v>
      </c>
      <c r="B70" s="65" t="s">
        <v>115</v>
      </c>
      <c r="C70" s="70"/>
      <c r="D70" s="77"/>
      <c r="E70" s="66"/>
    </row>
    <row r="71" spans="1:5" ht="15">
      <c r="A71" s="3" t="s">
        <v>95</v>
      </c>
      <c r="B71" s="40" t="s">
        <v>270</v>
      </c>
      <c r="C71" s="6" t="s">
        <v>32</v>
      </c>
      <c r="D71" s="23">
        <f>39.1+(28.4*3.5)</f>
        <v>138.5</v>
      </c>
      <c r="E71" s="1" t="s">
        <v>269</v>
      </c>
    </row>
    <row r="72" spans="1:5" ht="15">
      <c r="A72" s="3" t="s">
        <v>96</v>
      </c>
      <c r="B72" t="s">
        <v>188</v>
      </c>
      <c r="C72" s="6" t="s">
        <v>32</v>
      </c>
      <c r="D72" s="23">
        <f>(D79+D37)*2</f>
        <v>17.22</v>
      </c>
      <c r="E72" s="1" t="s">
        <v>299</v>
      </c>
    </row>
    <row r="73" spans="1:5" ht="29.25" customHeight="1">
      <c r="A73" s="121" t="s">
        <v>97</v>
      </c>
      <c r="B73" s="43" t="s">
        <v>117</v>
      </c>
      <c r="C73" s="28" t="s">
        <v>32</v>
      </c>
      <c r="D73" s="194">
        <f>((0.6*1.6*3)+(0.8*2.1))*2</f>
        <v>9.120000000000001</v>
      </c>
      <c r="E73" s="195" t="s">
        <v>271</v>
      </c>
    </row>
    <row r="74" spans="1:5" ht="29.25" customHeight="1">
      <c r="A74" s="42" t="s">
        <v>98</v>
      </c>
      <c r="B74" s="10" t="str">
        <f>Planilha1!D83</f>
        <v>Esmalte à base de água em massa, inclusive preparo (ALAMBRADO)</v>
      </c>
      <c r="C74" s="24" t="s">
        <v>32</v>
      </c>
      <c r="D74" s="103">
        <f>0.2*4*12</f>
        <v>9.600000000000001</v>
      </c>
      <c r="E74" s="120" t="s">
        <v>274</v>
      </c>
    </row>
    <row r="75" spans="1:5" ht="15">
      <c r="A75" s="118" t="s">
        <v>119</v>
      </c>
      <c r="B75" s="114" t="s">
        <v>183</v>
      </c>
      <c r="C75" s="115"/>
      <c r="D75" s="116"/>
      <c r="E75" s="117"/>
    </row>
    <row r="76" spans="1:5" ht="15">
      <c r="A76" s="3" t="s">
        <v>122</v>
      </c>
      <c r="B76" s="3" t="str">
        <f>Planilha1!D85</f>
        <v>Tela em aço galvanizado fio 16 BWG, malha de 1´ ‐ tipo alambrado</v>
      </c>
      <c r="C76" s="6" t="s">
        <v>32</v>
      </c>
      <c r="D76" s="23">
        <f>25*4</f>
        <v>100</v>
      </c>
      <c r="E76" s="1" t="s">
        <v>264</v>
      </c>
    </row>
    <row r="77" spans="1:5" ht="30">
      <c r="A77" s="3" t="s">
        <v>123</v>
      </c>
      <c r="B77" s="5" t="str">
        <f>Planilha1!D86</f>
        <v>Tubo de PVC rígido branco PxB com virola e anel de borracha, linha esgoto série normal, DN= 100 mm, inclusive conexões</v>
      </c>
      <c r="C77" s="6" t="s">
        <v>12</v>
      </c>
      <c r="D77" s="23">
        <f>7*4</f>
        <v>28</v>
      </c>
      <c r="E77" s="1" t="s">
        <v>265</v>
      </c>
    </row>
    <row r="78" spans="1:5" ht="45">
      <c r="A78" s="9" t="s">
        <v>124</v>
      </c>
      <c r="B78" s="5" t="str">
        <f>Planilha1!D87</f>
        <v>Revestimento em borracha sintética preta, espessura de 4 mm ‐
colado</v>
      </c>
      <c r="C78" s="24" t="s">
        <v>32</v>
      </c>
      <c r="D78" s="103">
        <f>0.65*1.5*5*5</f>
        <v>24.375</v>
      </c>
      <c r="E78" s="120" t="s">
        <v>268</v>
      </c>
    </row>
    <row r="79" spans="1:5" ht="15">
      <c r="A79" s="9" t="s">
        <v>125</v>
      </c>
      <c r="B79" s="10" t="str">
        <f>Planilha1!D88</f>
        <v>Vidro liso transparente de 4 mm</v>
      </c>
      <c r="C79" s="24" t="s">
        <v>32</v>
      </c>
      <c r="D79" s="103">
        <f>1.4*0.6*4</f>
        <v>3.36</v>
      </c>
      <c r="E79" s="120" t="s">
        <v>275</v>
      </c>
    </row>
  </sheetData>
  <conditionalFormatting sqref="B2 B54 B56:B59 A4 B11:B13 A6:A16 A20:A28 A31:A34 A40:A53 A36:A38 C36:C38 A64:A69">
    <cfRule type="expression" priority="298" dxfId="0">
      <formula>IF($L2="I",TRUE,FALSE)</formula>
    </cfRule>
    <cfRule type="expression" priority="298" dxfId="1">
      <formula>IF($L2="T",TRUE,FALSE)</formula>
    </cfRule>
  </conditionalFormatting>
  <conditionalFormatting sqref="D54:E58 E66:E79 D59:D64">
    <cfRule type="expression" priority="271" dxfId="63">
      <formula>IF($G54="I",TRUE,FALSE)</formula>
    </cfRule>
    <cfRule type="expression" priority="272" dxfId="62">
      <formula>IF($G54="T",TRUE,FALSE)</formula>
    </cfRule>
  </conditionalFormatting>
  <conditionalFormatting sqref="B10">
    <cfRule type="expression" priority="221" dxfId="0">
      <formula>IF($L10="I",TRUE,FALSE)</formula>
    </cfRule>
  </conditionalFormatting>
  <conditionalFormatting sqref="B14:B16">
    <cfRule type="expression" priority="215" dxfId="0">
      <formula>IF($L14="I",TRUE,FALSE)</formula>
    </cfRule>
    <cfRule type="expression" priority="216" dxfId="1">
      <formula>IF($L14="T",TRUE,FALSE)</formula>
    </cfRule>
  </conditionalFormatting>
  <conditionalFormatting sqref="A2">
    <cfRule type="expression" priority="127" dxfId="0">
      <formula>IF($L2="I",TRUE,FALSE)</formula>
    </cfRule>
    <cfRule type="expression" priority="128" dxfId="1">
      <formula>IF($L2="T",TRUE,FALSE)</formula>
    </cfRule>
  </conditionalFormatting>
  <conditionalFormatting sqref="A30">
    <cfRule type="expression" priority="123" dxfId="0">
      <formula>IF($L30="I",TRUE,FALSE)</formula>
    </cfRule>
    <cfRule type="expression" priority="124" dxfId="1">
      <formula>IF($L30="T",TRUE,FALSE)</formula>
    </cfRule>
  </conditionalFormatting>
  <conditionalFormatting sqref="A19">
    <cfRule type="expression" priority="121" dxfId="0">
      <formula>IF($L19="I",TRUE,FALSE)</formula>
    </cfRule>
    <cfRule type="expression" priority="122" dxfId="1">
      <formula>IF($L19="T",TRUE,FALSE)</formula>
    </cfRule>
  </conditionalFormatting>
  <conditionalFormatting sqref="A75">
    <cfRule type="expression" priority="87" dxfId="0">
      <formula>IF($L75="I",TRUE,FALSE)</formula>
    </cfRule>
    <cfRule type="expression" priority="88" dxfId="1">
      <formula>IF($L75="T",TRUE,FALSE)</formula>
    </cfRule>
  </conditionalFormatting>
  <conditionalFormatting sqref="A35">
    <cfRule type="expression" priority="119" dxfId="0">
      <formula>IF($L35="I",TRUE,FALSE)</formula>
    </cfRule>
    <cfRule type="expression" priority="120" dxfId="1">
      <formula>IF($L35="T",TRUE,FALSE)</formula>
    </cfRule>
  </conditionalFormatting>
  <conditionalFormatting sqref="A39">
    <cfRule type="expression" priority="117" dxfId="0">
      <formula>IF($L39="I",TRUE,FALSE)</formula>
    </cfRule>
    <cfRule type="expression" priority="118" dxfId="1">
      <formula>IF($L39="T",TRUE,FALSE)</formula>
    </cfRule>
  </conditionalFormatting>
  <conditionalFormatting sqref="A3">
    <cfRule type="expression" priority="111" dxfId="0">
      <formula>IF($L3="I",TRUE,FALSE)</formula>
    </cfRule>
    <cfRule type="expression" priority="112" dxfId="1">
      <formula>IF($L3="T",TRUE,FALSE)</formula>
    </cfRule>
  </conditionalFormatting>
  <conditionalFormatting sqref="A5">
    <cfRule type="expression" priority="109" dxfId="0">
      <formula>IF($L5="I",TRUE,FALSE)</formula>
    </cfRule>
    <cfRule type="expression" priority="110" dxfId="1">
      <formula>IF($L5="T",TRUE,FALSE)</formula>
    </cfRule>
  </conditionalFormatting>
  <conditionalFormatting sqref="A17">
    <cfRule type="expression" priority="105" dxfId="0">
      <formula>IF($L17="I",TRUE,FALSE)</formula>
    </cfRule>
    <cfRule type="expression" priority="106" dxfId="1">
      <formula>IF($L17="T",TRUE,FALSE)</formula>
    </cfRule>
  </conditionalFormatting>
  <conditionalFormatting sqref="A73:A74">
    <cfRule type="expression" priority="95" dxfId="0">
      <formula>IF($L75="I",TRUE,FALSE)</formula>
    </cfRule>
    <cfRule type="expression" priority="96" dxfId="1">
      <formula>IF($L75="T",TRUE,FALSE)</formula>
    </cfRule>
  </conditionalFormatting>
  <conditionalFormatting sqref="A53">
    <cfRule type="expression" priority="93" dxfId="0">
      <formula>IF($L53="I",TRUE,FALSE)</formula>
    </cfRule>
    <cfRule type="expression" priority="94" dxfId="1">
      <formula>IF($L53="T",TRUE,FALSE)</formula>
    </cfRule>
  </conditionalFormatting>
  <conditionalFormatting sqref="A65">
    <cfRule type="expression" priority="91" dxfId="0">
      <formula>IF($L65="I",TRUE,FALSE)</formula>
    </cfRule>
    <cfRule type="expression" priority="92" dxfId="1">
      <formula>IF($L65="T",TRUE,FALSE)</formula>
    </cfRule>
  </conditionalFormatting>
  <conditionalFormatting sqref="A70">
    <cfRule type="expression" priority="89" dxfId="0">
      <formula>IF($L70="I",TRUE,FALSE)</formula>
    </cfRule>
    <cfRule type="expression" priority="90" dxfId="1">
      <formula>IF($L70="T",TRUE,FALSE)</formula>
    </cfRule>
  </conditionalFormatting>
  <conditionalFormatting sqref="B4">
    <cfRule type="expression" priority="35" dxfId="0">
      <formula>IF($L4="I",TRUE,FALSE)</formula>
    </cfRule>
    <cfRule type="expression" priority="36" dxfId="1">
      <formula>IF($L4="T",TRUE,FALSE)</formula>
    </cfRule>
  </conditionalFormatting>
  <conditionalFormatting sqref="B66">
    <cfRule type="expression" priority="31" dxfId="0">
      <formula>IF($L66="I",TRUE,FALSE)</formula>
    </cfRule>
    <cfRule type="expression" priority="32" dxfId="1">
      <formula>IF($L66="T",TRUE,FALSE)</formula>
    </cfRule>
  </conditionalFormatting>
  <conditionalFormatting sqref="C48:C49">
    <cfRule type="expression" priority="29" dxfId="0">
      <formula>IF($L48="I",TRUE,FALSE)</formula>
    </cfRule>
    <cfRule type="expression" priority="30" dxfId="1">
      <formula>IF($L48="T",TRUE,FALSE)</formula>
    </cfRule>
  </conditionalFormatting>
  <conditionalFormatting sqref="C50:C52">
    <cfRule type="expression" priority="27" dxfId="0">
      <formula>IF($L50="I",TRUE,FALSE)</formula>
    </cfRule>
    <cfRule type="expression" priority="28" dxfId="1">
      <formula>IF($L50="T",TRUE,FALSE)</formula>
    </cfRule>
  </conditionalFormatting>
  <conditionalFormatting sqref="C62">
    <cfRule type="expression" priority="25" dxfId="0">
      <formula>IF($L62="I",TRUE,FALSE)</formula>
    </cfRule>
    <cfRule type="expression" priority="26" dxfId="1">
      <formula>IF($L62="T",TRUE,FALSE)</formula>
    </cfRule>
  </conditionalFormatting>
  <conditionalFormatting sqref="C63:C64">
    <cfRule type="expression" priority="23" dxfId="0">
      <formula>IF($L63="I",TRUE,FALSE)</formula>
    </cfRule>
    <cfRule type="expression" priority="24" dxfId="1">
      <formula>IF($L63="T",TRUE,FALSE)</formula>
    </cfRule>
  </conditionalFormatting>
  <conditionalFormatting sqref="C60:C61">
    <cfRule type="expression" priority="21" dxfId="0">
      <formula>IF($L60="I",TRUE,FALSE)</formula>
    </cfRule>
    <cfRule type="expression" priority="22" dxfId="1">
      <formula>IF($L60="T",TRUE,FALSE)</formula>
    </cfRule>
  </conditionalFormatting>
  <conditionalFormatting sqref="A56:A58">
    <cfRule type="expression" priority="13" dxfId="0">
      <formula>IF($L56="I",TRUE,FALSE)</formula>
    </cfRule>
    <cfRule type="expression" priority="14" dxfId="1">
      <formula>IF($L56="T",TRUE,FALSE)</formula>
    </cfRule>
  </conditionalFormatting>
  <conditionalFormatting sqref="A54">
    <cfRule type="expression" priority="15" dxfId="0">
      <formula>IF($L55="I",TRUE,FALSE)</formula>
    </cfRule>
    <cfRule type="expression" priority="16" dxfId="1">
      <formula>IF($L55="T",TRUE,FALSE)</formula>
    </cfRule>
  </conditionalFormatting>
  <conditionalFormatting sqref="A59:A62">
    <cfRule type="expression" priority="11" dxfId="0">
      <formula>IF($L59="I",TRUE,FALSE)</formula>
    </cfRule>
    <cfRule type="expression" priority="12" dxfId="1">
      <formula>IF($L59="T",TRUE,FALSE)</formula>
    </cfRule>
  </conditionalFormatting>
  <conditionalFormatting sqref="A55">
    <cfRule type="expression" priority="17" dxfId="0">
      <formula>IF(#REF!="I",TRUE,FALSE)</formula>
    </cfRule>
    <cfRule type="expression" priority="18" dxfId="1">
      <formula>IF(#REF!="T",TRUE,FALSE)</formula>
    </cfRule>
  </conditionalFormatting>
  <conditionalFormatting sqref="A56:A58">
    <cfRule type="expression" priority="19" dxfId="0">
      <formula>IF(#REF!="I",TRUE,FALSE)</formula>
    </cfRule>
    <cfRule type="expression" priority="20" dxfId="1">
      <formula>IF(#REF!="T",TRUE,FALSE)</formula>
    </cfRule>
  </conditionalFormatting>
  <conditionalFormatting sqref="A54">
    <cfRule type="expression" priority="7" dxfId="0">
      <formula>IF(#REF!="I",TRUE,FALSE)</formula>
    </cfRule>
    <cfRule type="expression" priority="8" dxfId="1">
      <formula>IF(#REF!="T",TRUE,FALSE)</formula>
    </cfRule>
  </conditionalFormatting>
  <conditionalFormatting sqref="A55">
    <cfRule type="expression" priority="9" dxfId="0">
      <formula>IF(#REF!="I",TRUE,FALSE)</formula>
    </cfRule>
    <cfRule type="expression" priority="10" dxfId="1">
      <formula>IF(#REF!="T",TRUE,FALSE)</formula>
    </cfRule>
  </conditionalFormatting>
  <conditionalFormatting sqref="A63">
    <cfRule type="expression" priority="5" dxfId="0">
      <formula>IF($L63="I",TRUE,FALSE)</formula>
    </cfRule>
    <cfRule type="expression" priority="6" dxfId="1">
      <formula>IF($L63="T",TRUE,FALSE)</formula>
    </cfRule>
  </conditionalFormatting>
  <conditionalFormatting sqref="A18">
    <cfRule type="expression" priority="3" dxfId="0">
      <formula>IF($L18="I",TRUE,FALSE)</formula>
    </cfRule>
    <cfRule type="expression" priority="4" dxfId="1">
      <formula>IF($L18="T",TRUE,FALSE)</formula>
    </cfRule>
  </conditionalFormatting>
  <conditionalFormatting sqref="A29">
    <cfRule type="expression" priority="1" dxfId="0">
      <formula>IF($L29="I",TRUE,FALSE)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2023-06-15T11:36:31Z</cp:lastPrinted>
  <dcterms:created xsi:type="dcterms:W3CDTF">2022-07-04T16:22:37Z</dcterms:created>
  <dcterms:modified xsi:type="dcterms:W3CDTF">2023-06-21T19:14:35Z</dcterms:modified>
  <cp:category/>
  <cp:version/>
  <cp:contentType/>
  <cp:contentStatus/>
</cp:coreProperties>
</file>