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10425" activeTab="0"/>
  </bookViews>
  <sheets>
    <sheet name="Planilha" sheetId="1" r:id="rId1"/>
    <sheet name="MEMORIAL DE CALCULO" sheetId="3" r:id="rId2"/>
  </sheets>
  <definedNames>
    <definedName name="_xlnm.Print_Area" localSheetId="0">'Planilha'!$B$1:$L$82</definedName>
  </definedNames>
  <calcPr calcId="162913"/>
</workbook>
</file>

<file path=xl/sharedStrings.xml><?xml version="1.0" encoding="utf-8"?>
<sst xmlns="http://schemas.openxmlformats.org/spreadsheetml/2006/main" count="426" uniqueCount="221">
  <si>
    <t>ITEM</t>
  </si>
  <si>
    <t>DESCRIÇÃO</t>
  </si>
  <si>
    <t>QTDD</t>
  </si>
  <si>
    <t>UNIDADE</t>
  </si>
  <si>
    <t>PREÇO TOTAL</t>
  </si>
  <si>
    <t>1.1</t>
  </si>
  <si>
    <t>04.50.011</t>
  </si>
  <si>
    <t>M²</t>
  </si>
  <si>
    <t>1.2</t>
  </si>
  <si>
    <t>M</t>
  </si>
  <si>
    <t>1.3</t>
  </si>
  <si>
    <t>2.1</t>
  </si>
  <si>
    <t>UNID.</t>
  </si>
  <si>
    <t>2.2</t>
  </si>
  <si>
    <t>05.01.050</t>
  </si>
  <si>
    <t>2.3</t>
  </si>
  <si>
    <t>05.01.029</t>
  </si>
  <si>
    <t>3.1</t>
  </si>
  <si>
    <t>4.1</t>
  </si>
  <si>
    <t>08.60.011</t>
  </si>
  <si>
    <t>4.2</t>
  </si>
  <si>
    <t>08.50.001</t>
  </si>
  <si>
    <t>08.04.002</t>
  </si>
  <si>
    <t>08.04.005</t>
  </si>
  <si>
    <t>08.04.044</t>
  </si>
  <si>
    <t>08.04.048</t>
  </si>
  <si>
    <t>08.03.016</t>
  </si>
  <si>
    <t>08.03.019</t>
  </si>
  <si>
    <t>08.03.021</t>
  </si>
  <si>
    <t>08.09.016</t>
  </si>
  <si>
    <t>08.09.018</t>
  </si>
  <si>
    <t>08.10.006</t>
  </si>
  <si>
    <t>08.15.018</t>
  </si>
  <si>
    <t>08.16.001</t>
  </si>
  <si>
    <t>08.16.025</t>
  </si>
  <si>
    <t>08.16.091</t>
  </si>
  <si>
    <t>CJ.</t>
  </si>
  <si>
    <t>08.04.099</t>
  </si>
  <si>
    <t>MV</t>
  </si>
  <si>
    <t>5.1</t>
  </si>
  <si>
    <t>12.02.006</t>
  </si>
  <si>
    <t>5.2</t>
  </si>
  <si>
    <t>12.02.029</t>
  </si>
  <si>
    <t>5.3</t>
  </si>
  <si>
    <t>12.50.002</t>
  </si>
  <si>
    <t>5.4</t>
  </si>
  <si>
    <t>12.80.030</t>
  </si>
  <si>
    <t>6.1</t>
  </si>
  <si>
    <t>13.01.004</t>
  </si>
  <si>
    <t>6.2</t>
  </si>
  <si>
    <t>13.01.006</t>
  </si>
  <si>
    <t>6.3</t>
  </si>
  <si>
    <t>13.02.069</t>
  </si>
  <si>
    <t>13.50.002</t>
  </si>
  <si>
    <t>13.01.017</t>
  </si>
  <si>
    <t>SOMATÓRIA TOTAL</t>
  </si>
  <si>
    <t>ELEMENTOS DIVISÓRIOS</t>
  </si>
  <si>
    <t>COBERTURA</t>
  </si>
  <si>
    <t>PISOS INTERNOS</t>
  </si>
  <si>
    <t>PREÇO UNITÁRIO C/ BDI 23,54 %</t>
  </si>
  <si>
    <t>07.03.131</t>
  </si>
  <si>
    <t>PREÇO UNITÁRIO C/ BDI 23%</t>
  </si>
  <si>
    <t>PREÇO UNITÁRIO S/ BDI</t>
  </si>
  <si>
    <t>VALOR UNITÁRIO S/ BDI</t>
  </si>
  <si>
    <t>DEMOLIÇÕES E RETIRADAS</t>
  </si>
  <si>
    <t>RETIRADA DE DIVISÓRIAS</t>
  </si>
  <si>
    <t>m</t>
  </si>
  <si>
    <t>m2</t>
  </si>
  <si>
    <t>feminino</t>
  </si>
  <si>
    <t>m alt</t>
  </si>
  <si>
    <t>masculino</t>
  </si>
  <si>
    <t>total</t>
  </si>
  <si>
    <t>DV-07 DIVISÓRIA DE GRANILITE</t>
  </si>
  <si>
    <t>04.03.009</t>
  </si>
  <si>
    <t>DIVISÓRIAS EM GRANILITE</t>
  </si>
  <si>
    <t>unid.</t>
  </si>
  <si>
    <t>M2</t>
  </si>
  <si>
    <t>DIVISÓRIAS</t>
  </si>
  <si>
    <t>REPARO COMPLETO EM GRANILITE-RASPAGEM/ESTUCAMENTO/POLIMENTO</t>
  </si>
  <si>
    <t>13.80.018</t>
  </si>
  <si>
    <t>RECUPERAÇÃO DE GRANILITE (DIVISÓRIAS)</t>
  </si>
  <si>
    <t>lados</t>
  </si>
  <si>
    <t>RETIRADA DE BATENTES DE ESQUADRIAS DE MADEIRA</t>
  </si>
  <si>
    <t>05.60.005</t>
  </si>
  <si>
    <t>RETIRADA DE FOLHAS DE PORTAS OU JANELAS</t>
  </si>
  <si>
    <t>05.60.001</t>
  </si>
  <si>
    <t>BATENTE</t>
  </si>
  <si>
    <t>unid</t>
  </si>
  <si>
    <t>FOLHAS PORTA</t>
  </si>
  <si>
    <t>TOTAL</t>
  </si>
  <si>
    <t>UNID</t>
  </si>
  <si>
    <t>RETIRADA DE APARELHOS SANITÁRIOS INCLUINDO ACESSÓRIOS</t>
  </si>
  <si>
    <t>PEÇAS SANITÁRIAS</t>
  </si>
  <si>
    <t>BACIA</t>
  </si>
  <si>
    <t>CUBA</t>
  </si>
  <si>
    <t>RETIRADA DE MÁRMORE PEDRAS OU GRANITOS INCL DEMOLICÃO ARGAMASSA ASSENTAMENTO</t>
  </si>
  <si>
    <t>12.60.001</t>
  </si>
  <si>
    <t>BANCADA DE GRANITO</t>
  </si>
  <si>
    <t>2.4</t>
  </si>
  <si>
    <t>PM-81 PORTA SARRAFEADO MACIÇO P/BOXE ACESSIVEL-COMPLETA</t>
  </si>
  <si>
    <t>PM-21 PORTA DE MADEIRA MACHO/FEMEA P/ PINT. BAT. MADEIRA L=92CM</t>
  </si>
  <si>
    <t>05.01.011</t>
  </si>
  <si>
    <t>PM-74 PORTA SARRAFEADO MACIÇO P/BOXES L=62CM-COMPLETA</t>
  </si>
  <si>
    <t>3.2</t>
  </si>
  <si>
    <t>3.3</t>
  </si>
  <si>
    <t>RETIRADA DE TELHAS OND DE FIBRO-CIM/PLAST OU ALUM/PLANA PRE FAB - S/REAPROV</t>
  </si>
  <si>
    <t>07.60.061</t>
  </si>
  <si>
    <t>2.5</t>
  </si>
  <si>
    <t>REVESTIMENTO CERÂMICO</t>
  </si>
  <si>
    <t>PISO CERÂMICO</t>
  </si>
  <si>
    <t>DEMOLIÇÃO DE REVEST DE AZULEJOS, PASTILHAS E LADRILHOS INCL ARG ASSENTAMENTO (AZULEJOS)</t>
  </si>
  <si>
    <t>2.6</t>
  </si>
  <si>
    <t>ELEMENTOS DE MADEIRA</t>
  </si>
  <si>
    <t>INSTALAÇÕES HIDRÁULICAS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</si>
  <si>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</si>
  <si>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</si>
  <si>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</si>
  <si>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</si>
  <si>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</si>
  <si>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</si>
  <si>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</si>
  <si>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</si>
  <si>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</si>
  <si>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</si>
  <si>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</si>
  <si>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</si>
  <si>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REVESTIMENTO DE TETO E PAREDES</t>
  </si>
  <si>
    <t>DEMOLIÇAO PISO GRANILITE, LADRILHO HIDRAULICO, CERAMICO, CACOS, INCLUSIVE BASE</t>
  </si>
  <si>
    <t>7.1</t>
  </si>
  <si>
    <t>7.2</t>
  </si>
  <si>
    <t>7.3</t>
  </si>
  <si>
    <t>7.4</t>
  </si>
  <si>
    <t>DEMOLIÇÃO DE DIVISÓRIAS EM PLACAS PARA SANITÁRIOS</t>
  </si>
  <si>
    <t>TELHA ONDULADA TRANSLÚCIDA EM POLIPROPILENO</t>
  </si>
  <si>
    <t>DEMOLIÇÃO DE TUBULACÕES EM GERAL INCLUINDO CONEXÕES, CAIXAS E RALOS</t>
  </si>
  <si>
    <t>REGISTRO DE GAVETA BRUTO DN 20MM (3/4")</t>
  </si>
  <si>
    <t>REGISTRO DE GAVETA BRUTO DN 40MM 1 1/2"</t>
  </si>
  <si>
    <t>VALVULA DE DESCARGA C/ REG INCORP DN=40MM(1 1/2) ACAB ANTIVANDALISMO</t>
  </si>
  <si>
    <t>VALVULA DE DESCARGA DE FECHAMENTO AUTOMATICO PARA MICTORIO</t>
  </si>
  <si>
    <t>TUBO PVC RÍGIDO JUNTA SOLDÁVEL DE 25 INCL CONEXÕES</t>
  </si>
  <si>
    <t>TUBO PVC RÍGIDO JUNTA SOLDÁVEL DE 50 INCL CONEXÕES</t>
  </si>
  <si>
    <t>TUBO PVC RÍGIDO JUNTA SOLDÁVEL DE 75 INCL CONEXÕES</t>
  </si>
  <si>
    <t>TUBO PVC NORMAL "SN" JUNTA ELÁSTICA DN 50 INCL CONEXÕES</t>
  </si>
  <si>
    <t>TUBO PVC NORMAL "SN" JUNTA ELÁSTICA DN 100 INCL CONEXÕES</t>
  </si>
  <si>
    <t>CAIXA SIFONADA DE PVC DN 150X150X50MM C/GRELHA METALICA</t>
  </si>
  <si>
    <t>LT-06 LAVATÓRIO COLETIVO COM TORNEIRA ANTIVANDALISMO</t>
  </si>
  <si>
    <t>BACIA SIFONADA DE LOUCA BRANCA (VDR 6L) C/ ASSENTO</t>
  </si>
  <si>
    <t>MICTORIO DE LOUCA SIFONADO/AUTO ASPIRANTE BRANCO</t>
  </si>
  <si>
    <t>BR-03 CONJUNTO LAVATORIO E BACIA ACESSIVEIS</t>
  </si>
  <si>
    <t>SERVICOS EM REDE DE AGUA FRIA</t>
  </si>
  <si>
    <t>EMBOCO DESEMPENADO</t>
  </si>
  <si>
    <t>CERAMICA ESMALTADA 20X20CM</t>
  </si>
  <si>
    <t>REPARO EM TRINCAS E RACHADURAS</t>
  </si>
  <si>
    <t>LASTRO DE CONCRETO C/ HIDROFUGO E=5CM</t>
  </si>
  <si>
    <t>LASTRO DE PEDRA BRITADA - 5CM</t>
  </si>
  <si>
    <t>PORCELANATO ESMALTADO</t>
  </si>
  <si>
    <t>ARGAMASSA DE REGULARIZACAO CIM/AREIA 1:3 ESP=2,50CM</t>
  </si>
  <si>
    <t>REFERÊNCIA</t>
  </si>
  <si>
    <t>CÓDIGO</t>
  </si>
  <si>
    <t>FDE</t>
  </si>
  <si>
    <t>CDHU</t>
  </si>
  <si>
    <t xml:space="preserve">16.16.040 </t>
  </si>
  <si>
    <t>Tietê, 27 de maio de 2022.</t>
  </si>
  <si>
    <t>Engenheiro Civil</t>
  </si>
  <si>
    <t>TELHA GALVALUME / ACO GALV PINT 1 FACE PO/COIL-COATING TRAPEZ H=100MM E=0,65MM</t>
  </si>
  <si>
    <t>PLANILHA ORÇAMENTÁRIA</t>
  </si>
  <si>
    <r>
      <t xml:space="preserve">REFERÊNCIA: </t>
    </r>
    <r>
      <rPr>
        <sz val="11"/>
        <color theme="1"/>
        <rFont val="Calibri"/>
        <family val="2"/>
        <scheme val="minor"/>
      </rPr>
      <t>FDE ABRIL 2022 / CDHU VERSÃO 186</t>
    </r>
  </si>
  <si>
    <r>
      <rPr>
        <b/>
        <sz val="11"/>
        <color theme="1"/>
        <rFont val="Calibri"/>
        <family val="2"/>
        <scheme val="minor"/>
      </rPr>
      <t xml:space="preserve">BDI: </t>
    </r>
    <r>
      <rPr>
        <sz val="11"/>
        <color theme="1"/>
        <rFont val="Calibri"/>
        <family val="2"/>
        <scheme val="minor"/>
      </rPr>
      <t>23,54%</t>
    </r>
  </si>
  <si>
    <r>
      <t>OBRA:</t>
    </r>
    <r>
      <rPr>
        <sz val="11"/>
        <color theme="1"/>
        <rFont val="Calibri"/>
        <family val="2"/>
        <scheme val="minor"/>
      </rPr>
      <t xml:space="preserve"> REFORMA DOS SANITÁRIOS PÚBLICOS E DA COBERTURA DO GINÁSIO DE ESPORTES ACÁCIO FERRAZ</t>
    </r>
  </si>
  <si>
    <t>ESCAVAÇÃO</t>
  </si>
  <si>
    <t>1.1.1</t>
  </si>
  <si>
    <t>02.50.001</t>
  </si>
  <si>
    <t>DEMOLIÇÃO DE CONCRETO SIMPLES (MANUAL)</t>
  </si>
  <si>
    <t>M3</t>
  </si>
  <si>
    <t>1.1.2</t>
  </si>
  <si>
    <t>16.13.001</t>
  </si>
  <si>
    <t>ESCAVACAO MANUAL - PROFUNDIDADE ATE 1.80 M</t>
  </si>
  <si>
    <t>ESTACAS TIPO MEGA</t>
  </si>
  <si>
    <t>1.2.1</t>
  </si>
  <si>
    <t>02.02.091</t>
  </si>
  <si>
    <t>TAXA DE MOBILIZAÇÃO DE EQUIPAMENTO - ESTACA</t>
  </si>
  <si>
    <t>1.2.2</t>
  </si>
  <si>
    <t xml:space="preserve"> 16.31.024</t>
  </si>
  <si>
    <t>ESTACA REACAO P/20T CRAVADA ALEM 5,00M DE PROFUNDIDADE</t>
  </si>
  <si>
    <t>RECOMPOSIÇÃO DE PISO</t>
  </si>
  <si>
    <t>1.3.1</t>
  </si>
  <si>
    <t>01.06.005</t>
  </si>
  <si>
    <t>REATERRO INTERNO APILOADO</t>
  </si>
  <si>
    <t>1.3.2</t>
  </si>
  <si>
    <t>01.07.002</t>
  </si>
  <si>
    <t>1.3.3</t>
  </si>
  <si>
    <t>16.14.006</t>
  </si>
  <si>
    <t>FORMAS DE MADEIRA MACICA</t>
  </si>
  <si>
    <t>16.80.013</t>
  </si>
  <si>
    <t>PISO DE CONCRETO DESEMPENADO C/ REQUADRO 1.80CM E=6CM</t>
  </si>
  <si>
    <t>REFORÇO DE FUNDAÇÃO</t>
  </si>
  <si>
    <t>1.</t>
  </si>
  <si>
    <t>REFORÇO DE FUNDAÇÃO - ESTACAS TIPO MEGA</t>
  </si>
  <si>
    <t>ESTACAS</t>
  </si>
  <si>
    <t>M PROF.</t>
  </si>
  <si>
    <t>LARG</t>
  </si>
  <si>
    <t>COMP</t>
  </si>
  <si>
    <t>ESPESSURA CONCRETO</t>
  </si>
  <si>
    <t>m3</t>
  </si>
  <si>
    <t>PROF</t>
  </si>
  <si>
    <t>ALTUR</t>
  </si>
  <si>
    <t>ESTACA</t>
  </si>
  <si>
    <t>8.1</t>
  </si>
  <si>
    <t>8.1.1</t>
  </si>
  <si>
    <t>8.1.2</t>
  </si>
  <si>
    <t>8.2</t>
  </si>
  <si>
    <t>8.2.1</t>
  </si>
  <si>
    <t>8.2.2</t>
  </si>
  <si>
    <t>8.3</t>
  </si>
  <si>
    <t>8.3.1</t>
  </si>
  <si>
    <t>8.3.2</t>
  </si>
  <si>
    <t>8.3.3</t>
  </si>
  <si>
    <t>8.3.4</t>
  </si>
  <si>
    <t>Milton Pelusi</t>
  </si>
  <si>
    <t>CREA/SP: 060.135.678-7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</si>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</sst>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0" xfId="0" applyNumberFormat="1" applyAlignment="1">
      <alignment wrapText="1"/>
    </xf>
    <xf numFmtId="164" fontId="0" fillId="0" borderId="0" xfId="0" applyNumberFormat="1" applyBorder="1"/>
    <xf numFmtId="164" fontId="0" fillId="0" borderId="4" xfId="0" applyNumberFormat="1" applyBorder="1"/>
    <xf numFmtId="164" fontId="0" fillId="0" borderId="0" xfId="0" applyNumberFormat="1"/>
    <xf numFmtId="10" fontId="0" fillId="0" borderId="0" xfId="0" applyNumberFormat="1" applyAlignment="1">
      <alignment wrapText="1"/>
    </xf>
    <xf numFmtId="0" fontId="2" fillId="2" borderId="0" xfId="0" applyFont="1" applyFill="1"/>
    <xf numFmtId="0" fontId="0" fillId="0" borderId="0" xfId="0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 wrapText="1"/>
    </xf>
    <xf numFmtId="44" fontId="7" fillId="0" borderId="11" xfId="20" applyFont="1" applyBorder="1" applyAlignment="1">
      <alignment horizontal="center" wrapText="1"/>
    </xf>
    <xf numFmtId="44" fontId="7" fillId="0" borderId="11" xfId="20" applyFont="1" applyBorder="1" applyAlignment="1">
      <alignment horizontal="right" wrapText="1"/>
    </xf>
    <xf numFmtId="44" fontId="7" fillId="0" borderId="12" xfId="20" applyFont="1" applyBorder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44" fontId="7" fillId="0" borderId="11" xfId="20" applyFont="1" applyBorder="1" applyAlignment="1">
      <alignment horizontal="center" vertical="center" wrapText="1"/>
    </xf>
    <xf numFmtId="44" fontId="7" fillId="0" borderId="11" xfId="20" applyFont="1" applyBorder="1" applyAlignment="1">
      <alignment horizontal="right" vertical="center" wrapText="1"/>
    </xf>
    <xf numFmtId="44" fontId="7" fillId="0" borderId="12" xfId="2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44" fontId="6" fillId="0" borderId="11" xfId="20" applyFont="1" applyBorder="1" applyAlignment="1">
      <alignment horizontal="center" wrapText="1"/>
    </xf>
    <xf numFmtId="44" fontId="6" fillId="0" borderId="11" xfId="20" applyFont="1" applyBorder="1" applyAlignment="1">
      <alignment wrapText="1"/>
    </xf>
    <xf numFmtId="44" fontId="6" fillId="0" borderId="12" xfId="2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64" fontId="6" fillId="0" borderId="11" xfId="0" applyNumberFormat="1" applyFont="1" applyBorder="1" applyAlignment="1">
      <alignment horizontal="center" vertical="center" wrapText="1"/>
    </xf>
    <xf numFmtId="44" fontId="6" fillId="0" borderId="11" xfId="20" applyFont="1" applyBorder="1" applyAlignment="1">
      <alignment horizontal="center" vertical="center" wrapText="1"/>
    </xf>
    <xf numFmtId="44" fontId="6" fillId="0" borderId="11" xfId="20" applyFont="1" applyBorder="1" applyAlignment="1">
      <alignment vertical="center" wrapText="1"/>
    </xf>
    <xf numFmtId="44" fontId="6" fillId="0" borderId="12" xfId="2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44" fontId="6" fillId="0" borderId="13" xfId="20" applyFont="1" applyBorder="1" applyAlignment="1">
      <alignment horizontal="center" vertical="center" wrapText="1"/>
    </xf>
    <xf numFmtId="44" fontId="6" fillId="0" borderId="13" xfId="20" applyFont="1" applyBorder="1" applyAlignment="1">
      <alignment vertical="center" wrapText="1"/>
    </xf>
    <xf numFmtId="44" fontId="6" fillId="0" borderId="14" xfId="20" applyFont="1" applyBorder="1" applyAlignment="1">
      <alignment horizontal="right" vertical="center" wrapText="1"/>
    </xf>
    <xf numFmtId="44" fontId="7" fillId="0" borderId="15" xfId="20" applyFont="1" applyBorder="1" applyAlignment="1">
      <alignment horizontal="right" vertical="center" wrapText="1"/>
    </xf>
    <xf numFmtId="44" fontId="7" fillId="0" borderId="15" xfId="2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44" fontId="7" fillId="0" borderId="13" xfId="20" applyFont="1" applyBorder="1" applyAlignment="1">
      <alignment horizontal="center" wrapText="1"/>
    </xf>
    <xf numFmtId="44" fontId="7" fillId="0" borderId="13" xfId="20" applyFont="1" applyBorder="1" applyAlignment="1">
      <alignment horizontal="right" wrapText="1"/>
    </xf>
    <xf numFmtId="44" fontId="7" fillId="0" borderId="14" xfId="20" applyFont="1" applyBorder="1" applyAlignment="1">
      <alignment horizontal="right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justify" vertical="center" wrapText="1"/>
    </xf>
    <xf numFmtId="0" fontId="4" fillId="4" borderId="18" xfId="0" applyFont="1" applyFill="1" applyBorder="1" applyAlignment="1">
      <alignment vertical="center" wrapText="1"/>
    </xf>
    <xf numFmtId="164" fontId="4" fillId="4" borderId="18" xfId="0" applyNumberFormat="1" applyFont="1" applyFill="1" applyBorder="1" applyAlignment="1">
      <alignment vertical="center" wrapText="1"/>
    </xf>
    <xf numFmtId="44" fontId="3" fillId="4" borderId="8" xfId="0" applyNumberFormat="1" applyFont="1" applyFill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 wrapText="1"/>
    </xf>
    <xf numFmtId="44" fontId="7" fillId="0" borderId="21" xfId="20" applyFont="1" applyBorder="1" applyAlignment="1">
      <alignment horizontal="center" vertical="center" wrapText="1"/>
    </xf>
    <xf numFmtId="44" fontId="7" fillId="0" borderId="21" xfId="20" applyFont="1" applyBorder="1" applyAlignment="1">
      <alignment horizontal="right" vertical="center" wrapText="1"/>
    </xf>
    <xf numFmtId="44" fontId="7" fillId="0" borderId="22" xfId="2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164" fontId="6" fillId="0" borderId="13" xfId="0" applyNumberFormat="1" applyFont="1" applyBorder="1" applyAlignment="1">
      <alignment horizontal="center" wrapText="1"/>
    </xf>
    <xf numFmtId="44" fontId="6" fillId="0" borderId="13" xfId="20" applyFont="1" applyBorder="1" applyAlignment="1">
      <alignment horizontal="center" wrapText="1"/>
    </xf>
    <xf numFmtId="44" fontId="6" fillId="0" borderId="13" xfId="20" applyFont="1" applyBorder="1" applyAlignment="1">
      <alignment wrapText="1"/>
    </xf>
    <xf numFmtId="44" fontId="6" fillId="0" borderId="14" xfId="20" applyFont="1" applyBorder="1" applyAlignment="1">
      <alignment horizontal="right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center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44" fontId="6" fillId="4" borderId="18" xfId="20" applyFont="1" applyFill="1" applyBorder="1" applyAlignment="1">
      <alignment horizontal="center" vertical="center" wrapText="1"/>
    </xf>
    <xf numFmtId="44" fontId="6" fillId="4" borderId="18" xfId="20" applyFont="1" applyFill="1" applyBorder="1" applyAlignment="1">
      <alignment vertical="center" wrapText="1"/>
    </xf>
    <xf numFmtId="44" fontId="3" fillId="4" borderId="8" xfId="20" applyFont="1" applyFill="1" applyBorder="1" applyAlignment="1">
      <alignment horizontal="right" vertic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44" fontId="6" fillId="0" borderId="23" xfId="20" applyFont="1" applyBorder="1" applyAlignment="1">
      <alignment horizontal="center" vertical="center" wrapText="1"/>
    </xf>
    <xf numFmtId="44" fontId="6" fillId="0" borderId="23" xfId="20" applyFont="1" applyBorder="1" applyAlignment="1">
      <alignment vertical="center" wrapText="1"/>
    </xf>
    <xf numFmtId="44" fontId="6" fillId="0" borderId="24" xfId="20" applyFont="1" applyBorder="1" applyAlignment="1">
      <alignment horizontal="right" vertical="center" wrapText="1"/>
    </xf>
    <xf numFmtId="44" fontId="4" fillId="4" borderId="18" xfId="2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164" fontId="7" fillId="0" borderId="21" xfId="0" applyNumberFormat="1" applyFont="1" applyBorder="1" applyAlignment="1">
      <alignment horizontal="center" wrapText="1"/>
    </xf>
    <xf numFmtId="44" fontId="7" fillId="0" borderId="21" xfId="20" applyFont="1" applyBorder="1" applyAlignment="1">
      <alignment horizontal="center" wrapText="1"/>
    </xf>
    <xf numFmtId="44" fontId="7" fillId="0" borderId="21" xfId="20" applyFont="1" applyBorder="1" applyAlignment="1">
      <alignment horizontal="right" wrapText="1"/>
    </xf>
    <xf numFmtId="44" fontId="7" fillId="0" borderId="22" xfId="20" applyFont="1" applyBorder="1" applyAlignment="1">
      <alignment horizontal="right" wrapText="1"/>
    </xf>
    <xf numFmtId="0" fontId="4" fillId="0" borderId="1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/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4" fontId="7" fillId="0" borderId="13" xfId="20" applyFont="1" applyBorder="1" applyAlignment="1">
      <alignment horizontal="center" vertical="center" wrapText="1"/>
    </xf>
    <xf numFmtId="44" fontId="7" fillId="0" borderId="13" xfId="20" applyFont="1" applyBorder="1" applyAlignment="1">
      <alignment horizontal="right" vertical="center" wrapText="1"/>
    </xf>
    <xf numFmtId="44" fontId="7" fillId="0" borderId="25" xfId="20" applyFont="1" applyBorder="1" applyAlignment="1">
      <alignment horizontal="right" vertical="center" wrapText="1"/>
    </xf>
    <xf numFmtId="44" fontId="7" fillId="0" borderId="14" xfId="2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/>
    </xf>
    <xf numFmtId="44" fontId="7" fillId="0" borderId="26" xfId="20" applyFont="1" applyBorder="1" applyAlignment="1">
      <alignment horizontal="right" vertical="center" wrapText="1"/>
    </xf>
    <xf numFmtId="0" fontId="4" fillId="0" borderId="13" xfId="0" applyFont="1" applyBorder="1"/>
    <xf numFmtId="44" fontId="7" fillId="0" borderId="25" xfId="20" applyFont="1" applyBorder="1" applyAlignment="1">
      <alignment horizontal="right" wrapText="1"/>
    </xf>
    <xf numFmtId="44" fontId="7" fillId="0" borderId="26" xfId="20" applyFont="1" applyBorder="1" applyAlignment="1">
      <alignment horizontal="right" wrapText="1"/>
    </xf>
    <xf numFmtId="0" fontId="4" fillId="0" borderId="23" xfId="0" applyFont="1" applyBorder="1" applyAlignment="1">
      <alignment horizontal="center" vertical="center"/>
    </xf>
    <xf numFmtId="44" fontId="0" fillId="0" borderId="0" xfId="0" applyNumberFormat="1"/>
    <xf numFmtId="0" fontId="2" fillId="0" borderId="0" xfId="0" applyFont="1"/>
    <xf numFmtId="44" fontId="7" fillId="0" borderId="0" xfId="20" applyFont="1" applyBorder="1" applyAlignment="1">
      <alignment horizontal="right" wrapText="1"/>
    </xf>
    <xf numFmtId="44" fontId="7" fillId="0" borderId="2" xfId="20" applyFont="1" applyBorder="1" applyAlignment="1">
      <alignment horizontal="right" wrapText="1"/>
    </xf>
    <xf numFmtId="1" fontId="11" fillId="0" borderId="11" xfId="0" applyNumberFormat="1" applyFont="1" applyFill="1" applyBorder="1" applyAlignment="1">
      <alignment horizontal="center" vertical="top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/>
    </xf>
    <xf numFmtId="2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3" fontId="10" fillId="0" borderId="11" xfId="0" applyNumberFormat="1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43" fontId="10" fillId="0" borderId="0" xfId="0" applyNumberFormat="1" applyFont="1" applyFill="1" applyBorder="1" applyAlignment="1">
      <alignment vertical="top" wrapText="1"/>
    </xf>
    <xf numFmtId="43" fontId="9" fillId="0" borderId="27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43" fontId="11" fillId="0" borderId="11" xfId="21" applyNumberFormat="1" applyFont="1" applyFill="1" applyBorder="1" applyAlignment="1">
      <alignment horizontal="right" vertical="center" shrinkToFit="1"/>
    </xf>
    <xf numFmtId="0" fontId="11" fillId="0" borderId="2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44" fontId="3" fillId="3" borderId="5" xfId="2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wrapText="1"/>
    </xf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44" fontId="6" fillId="3" borderId="4" xfId="20" applyFont="1" applyFill="1" applyBorder="1" applyAlignment="1">
      <alignment horizontal="center" vertical="center" wrapText="1"/>
    </xf>
    <xf numFmtId="44" fontId="6" fillId="3" borderId="4" xfId="20" applyFont="1" applyFill="1" applyBorder="1" applyAlignment="1">
      <alignment horizontal="right" vertical="center" wrapText="1"/>
    </xf>
    <xf numFmtId="1" fontId="8" fillId="0" borderId="28" xfId="0" applyNumberFormat="1" applyFont="1" applyFill="1" applyBorder="1" applyAlignment="1">
      <alignment horizontal="left" vertical="top" shrinkToFit="1"/>
    </xf>
    <xf numFmtId="0" fontId="9" fillId="0" borderId="29" xfId="0" applyFont="1" applyFill="1" applyBorder="1" applyAlignment="1">
      <alignment vertical="top"/>
    </xf>
    <xf numFmtId="1" fontId="8" fillId="0" borderId="29" xfId="0" applyNumberFormat="1" applyFont="1" applyFill="1" applyBorder="1" applyAlignment="1">
      <alignment horizontal="center" vertical="top" shrinkToFit="1"/>
    </xf>
    <xf numFmtId="0" fontId="9" fillId="0" borderId="29" xfId="0" applyFont="1" applyFill="1" applyBorder="1" applyAlignment="1">
      <alignment vertical="top" wrapText="1"/>
    </xf>
    <xf numFmtId="2" fontId="10" fillId="0" borderId="29" xfId="0" applyNumberFormat="1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vertical="top" wrapText="1"/>
    </xf>
    <xf numFmtId="43" fontId="10" fillId="0" borderId="29" xfId="0" applyNumberFormat="1" applyFont="1" applyFill="1" applyBorder="1" applyAlignment="1">
      <alignment vertical="top" wrapText="1"/>
    </xf>
    <xf numFmtId="43" fontId="9" fillId="0" borderId="30" xfId="0" applyNumberFormat="1" applyFont="1" applyFill="1" applyBorder="1" applyAlignment="1">
      <alignment vertical="top" wrapText="1"/>
    </xf>
    <xf numFmtId="44" fontId="7" fillId="0" borderId="31" xfId="20" applyFont="1" applyBorder="1" applyAlignment="1">
      <alignment horizontal="right" wrapText="1"/>
    </xf>
    <xf numFmtId="44" fontId="7" fillId="0" borderId="32" xfId="20" applyFont="1" applyBorder="1" applyAlignment="1">
      <alignment horizontal="right" wrapText="1"/>
    </xf>
    <xf numFmtId="1" fontId="11" fillId="0" borderId="9" xfId="0" applyNumberFormat="1" applyFont="1" applyFill="1" applyBorder="1" applyAlignment="1">
      <alignment horizontal="left" vertical="top" shrinkToFit="1"/>
    </xf>
    <xf numFmtId="1" fontId="8" fillId="0" borderId="1" xfId="0" applyNumberFormat="1" applyFont="1" applyFill="1" applyBorder="1" applyAlignment="1">
      <alignment horizontal="left" vertical="top" shrinkToFi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top" wrapText="1"/>
    </xf>
    <xf numFmtId="2" fontId="10" fillId="0" borderId="34" xfId="0" applyNumberFormat="1" applyFont="1" applyFill="1" applyBorder="1" applyAlignment="1">
      <alignment horizontal="center" vertical="center" wrapText="1"/>
    </xf>
    <xf numFmtId="43" fontId="11" fillId="0" borderId="34" xfId="21" applyNumberFormat="1" applyFont="1" applyFill="1" applyBorder="1" applyAlignment="1">
      <alignment horizontal="right" vertical="center" shrinkToFit="1"/>
    </xf>
    <xf numFmtId="44" fontId="7" fillId="0" borderId="4" xfId="20" applyFont="1" applyBorder="1" applyAlignment="1">
      <alignment horizontal="right" wrapText="1"/>
    </xf>
    <xf numFmtId="44" fontId="7" fillId="0" borderId="35" xfId="20" applyFont="1" applyBorder="1" applyAlignment="1">
      <alignment horizontal="right" wrapText="1"/>
    </xf>
    <xf numFmtId="0" fontId="12" fillId="5" borderId="0" xfId="0" applyFont="1" applyFill="1" applyBorder="1" applyAlignment="1">
      <alignment horizontal="left" vertical="top"/>
    </xf>
    <xf numFmtId="0" fontId="13" fillId="5" borderId="0" xfId="0" applyFont="1" applyFill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>
      <alignment horizontal="center" vertical="top" shrinkToFit="1"/>
    </xf>
    <xf numFmtId="0" fontId="6" fillId="0" borderId="3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  <cellStyle name="Vírgul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0</xdr:rowOff>
    </xdr:from>
    <xdr:to>
      <xdr:col>11</xdr:col>
      <xdr:colOff>933450</xdr:colOff>
      <xdr:row>7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9086850" cy="1504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82"/>
  <sheetViews>
    <sheetView showGridLines="0" tabSelected="1" zoomScale="130" zoomScaleNormal="130" workbookViewId="0" topLeftCell="A68">
      <selection activeCell="H31" sqref="H31"/>
    </sheetView>
  </sheetViews>
  <sheetFormatPr defaultColWidth="9.140625" defaultRowHeight="15"/>
  <cols>
    <col min="3" max="3" width="11.7109375" style="0" customWidth="1"/>
    <col min="4" max="4" width="10.7109375" style="18" customWidth="1"/>
    <col min="5" max="5" width="47.57421875" style="0" customWidth="1"/>
    <col min="6" max="6" width="8.7109375" style="1" customWidth="1"/>
    <col min="8" max="8" width="13.140625" style="15" customWidth="1"/>
    <col min="9" max="9" width="12.140625" style="0" customWidth="1"/>
    <col min="10" max="11" width="10.421875" style="0" hidden="1" customWidth="1"/>
    <col min="12" max="12" width="15.8515625" style="0" customWidth="1"/>
    <col min="13" max="13" width="15.7109375" style="0" customWidth="1"/>
  </cols>
  <sheetData>
    <row r="1" ht="15"/>
    <row r="2" ht="15"/>
    <row r="3" ht="15"/>
    <row r="4" ht="15"/>
    <row r="5" ht="15"/>
    <row r="6" ht="15"/>
    <row r="7" ht="15"/>
    <row r="8" ht="15"/>
    <row r="9" spans="2:12" ht="26.25" customHeight="1">
      <c r="B9" s="201" t="s">
        <v>165</v>
      </c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1" ht="15">
      <c r="B11" s="136" t="s">
        <v>168</v>
      </c>
    </row>
    <row r="12" ht="15">
      <c r="B12" s="136" t="s">
        <v>166</v>
      </c>
    </row>
    <row r="13" ht="15">
      <c r="B13" t="s">
        <v>167</v>
      </c>
    </row>
    <row r="15" spans="2:12" ht="15.75" thickBot="1">
      <c r="B15" s="2"/>
      <c r="C15" s="2"/>
      <c r="D15" s="21"/>
      <c r="E15" s="2"/>
      <c r="F15" s="3"/>
      <c r="G15" s="2"/>
      <c r="H15" s="12"/>
      <c r="I15" s="2"/>
      <c r="J15" s="2"/>
      <c r="K15" s="2"/>
      <c r="L15" s="16">
        <v>0.2354</v>
      </c>
    </row>
    <row r="16" spans="2:12" ht="39" thickBot="1">
      <c r="B16" s="24" t="s">
        <v>0</v>
      </c>
      <c r="C16" s="24" t="s">
        <v>157</v>
      </c>
      <c r="D16" s="25" t="s">
        <v>158</v>
      </c>
      <c r="E16" s="26" t="s">
        <v>1</v>
      </c>
      <c r="F16" s="26" t="s">
        <v>2</v>
      </c>
      <c r="G16" s="26" t="s">
        <v>3</v>
      </c>
      <c r="H16" s="27" t="s">
        <v>63</v>
      </c>
      <c r="I16" s="26" t="s">
        <v>59</v>
      </c>
      <c r="J16" s="26" t="s">
        <v>61</v>
      </c>
      <c r="K16" s="26" t="s">
        <v>62</v>
      </c>
      <c r="L16" s="26" t="s">
        <v>4</v>
      </c>
    </row>
    <row r="17" spans="2:12" ht="26.25" customHeight="1" thickBot="1">
      <c r="B17" s="74">
        <v>1</v>
      </c>
      <c r="C17" s="75"/>
      <c r="D17" s="76"/>
      <c r="E17" s="77" t="s">
        <v>56</v>
      </c>
      <c r="F17" s="76"/>
      <c r="G17" s="78"/>
      <c r="H17" s="79"/>
      <c r="I17" s="78"/>
      <c r="J17" s="78"/>
      <c r="K17" s="78"/>
      <c r="L17" s="80">
        <f>SUM(L18:L20)</f>
        <v>3605.910228</v>
      </c>
    </row>
    <row r="18" spans="2:14" ht="15">
      <c r="B18" s="66" t="s">
        <v>5</v>
      </c>
      <c r="C18" s="67" t="s">
        <v>159</v>
      </c>
      <c r="D18" s="59" t="s">
        <v>6</v>
      </c>
      <c r="E18" s="68" t="s">
        <v>132</v>
      </c>
      <c r="F18" s="69">
        <f>'MEMORIAL DE CALCULO'!F4</f>
        <v>12.96</v>
      </c>
      <c r="G18" s="69" t="s">
        <v>76</v>
      </c>
      <c r="H18" s="70">
        <f>6.18/1.23</f>
        <v>5.024390243902439</v>
      </c>
      <c r="I18" s="71">
        <f>H18*L15+H18</f>
        <v>6.207131707317073</v>
      </c>
      <c r="J18" s="72">
        <v>6.18</v>
      </c>
      <c r="K18" s="72">
        <f>J18/1.23</f>
        <v>5.024390243902439</v>
      </c>
      <c r="L18" s="73">
        <f>F18*I18</f>
        <v>80.44442692682927</v>
      </c>
      <c r="N18" s="15"/>
    </row>
    <row r="19" spans="2:13" ht="15">
      <c r="B19" s="28" t="s">
        <v>8</v>
      </c>
      <c r="C19" s="29" t="s">
        <v>159</v>
      </c>
      <c r="D19" s="37" t="s">
        <v>73</v>
      </c>
      <c r="E19" s="38" t="s">
        <v>72</v>
      </c>
      <c r="F19" s="32">
        <f>'MEMORIAL DE CALCULO'!F21</f>
        <v>11.34</v>
      </c>
      <c r="G19" s="32" t="s">
        <v>76</v>
      </c>
      <c r="H19" s="33">
        <f>220.97/1.23</f>
        <v>179.65040650406505</v>
      </c>
      <c r="I19" s="34">
        <f>L15*H19+H19</f>
        <v>221.94011219512197</v>
      </c>
      <c r="J19" s="35"/>
      <c r="K19" s="35"/>
      <c r="L19" s="36">
        <f>I19*F19</f>
        <v>2516.800872292683</v>
      </c>
      <c r="M19" s="15"/>
    </row>
    <row r="20" spans="2:12" ht="26.25" thickBot="1">
      <c r="B20" s="81" t="s">
        <v>10</v>
      </c>
      <c r="C20" s="82" t="s">
        <v>159</v>
      </c>
      <c r="D20" s="83" t="s">
        <v>79</v>
      </c>
      <c r="E20" s="84" t="s">
        <v>78</v>
      </c>
      <c r="F20" s="85">
        <f>'MEMORIAL DE CALCULO'!H34</f>
        <v>19.8</v>
      </c>
      <c r="G20" s="85" t="s">
        <v>76</v>
      </c>
      <c r="H20" s="86">
        <f>50.72/1.23</f>
        <v>41.235772357723576</v>
      </c>
      <c r="I20" s="87">
        <f>L15*H20+H20</f>
        <v>50.94267317073171</v>
      </c>
      <c r="J20" s="88"/>
      <c r="K20" s="88"/>
      <c r="L20" s="89">
        <f>I20*F20</f>
        <v>1008.6649287804879</v>
      </c>
    </row>
    <row r="21" spans="2:12" ht="24" customHeight="1" thickBot="1">
      <c r="B21" s="74">
        <v>2</v>
      </c>
      <c r="C21" s="75"/>
      <c r="D21" s="96"/>
      <c r="E21" s="97" t="s">
        <v>64</v>
      </c>
      <c r="F21" s="98"/>
      <c r="G21" s="96"/>
      <c r="H21" s="99"/>
      <c r="I21" s="100"/>
      <c r="J21" s="101"/>
      <c r="K21" s="101"/>
      <c r="L21" s="102">
        <f>SUM(L22:L27)</f>
        <v>4129.492233170731</v>
      </c>
    </row>
    <row r="22" spans="2:12" ht="26.25">
      <c r="B22" s="66" t="s">
        <v>11</v>
      </c>
      <c r="C22" s="67" t="s">
        <v>159</v>
      </c>
      <c r="D22" s="90" t="s">
        <v>44</v>
      </c>
      <c r="E22" s="68" t="s">
        <v>110</v>
      </c>
      <c r="F22" s="69">
        <f>'MEMORIAL DE CALCULO'!E49</f>
        <v>74</v>
      </c>
      <c r="G22" s="91" t="s">
        <v>76</v>
      </c>
      <c r="H22" s="92">
        <f>17.36/1.23</f>
        <v>14.113821138211382</v>
      </c>
      <c r="I22" s="93">
        <f>L15*H22+H22</f>
        <v>17.436214634146342</v>
      </c>
      <c r="J22" s="94"/>
      <c r="K22" s="94"/>
      <c r="L22" s="95">
        <f aca="true" t="shared" si="0" ref="L22:L27">I22*F22</f>
        <v>1290.2798829268293</v>
      </c>
    </row>
    <row r="23" spans="2:12" ht="26.25">
      <c r="B23" s="28" t="s">
        <v>13</v>
      </c>
      <c r="C23" s="29" t="s">
        <v>159</v>
      </c>
      <c r="D23" s="37" t="s">
        <v>53</v>
      </c>
      <c r="E23" s="52" t="s">
        <v>127</v>
      </c>
      <c r="F23" s="32">
        <f>'MEMORIAL DE CALCULO'!A57</f>
        <v>30.3</v>
      </c>
      <c r="G23" s="47" t="s">
        <v>76</v>
      </c>
      <c r="H23" s="48">
        <f>32.42/1.23</f>
        <v>26.357723577235774</v>
      </c>
      <c r="I23" s="49">
        <f>L15*H23+H23</f>
        <v>32.56233170731707</v>
      </c>
      <c r="J23" s="50"/>
      <c r="K23" s="50"/>
      <c r="L23" s="51">
        <f t="shared" si="0"/>
        <v>986.6386507317072</v>
      </c>
    </row>
    <row r="24" spans="2:12" ht="15">
      <c r="B24" s="28" t="s">
        <v>15</v>
      </c>
      <c r="C24" s="29" t="s">
        <v>159</v>
      </c>
      <c r="D24" s="37" t="s">
        <v>83</v>
      </c>
      <c r="E24" s="41" t="s">
        <v>82</v>
      </c>
      <c r="F24" s="42">
        <f>'MEMORIAL DE CALCULO'!D62</f>
        <v>12</v>
      </c>
      <c r="G24" s="30" t="s">
        <v>12</v>
      </c>
      <c r="H24" s="53">
        <f>55.19/1.23</f>
        <v>44.86991869918699</v>
      </c>
      <c r="I24" s="54">
        <f>L15*H24+H24</f>
        <v>55.432297560975606</v>
      </c>
      <c r="J24" s="55"/>
      <c r="K24" s="55"/>
      <c r="L24" s="56">
        <f t="shared" si="0"/>
        <v>665.1875707317073</v>
      </c>
    </row>
    <row r="25" spans="2:12" ht="15">
      <c r="B25" s="28" t="s">
        <v>98</v>
      </c>
      <c r="C25" s="29" t="s">
        <v>159</v>
      </c>
      <c r="D25" s="37" t="s">
        <v>85</v>
      </c>
      <c r="E25" s="57" t="s">
        <v>84</v>
      </c>
      <c r="F25" s="42">
        <f>'MEMORIAL DE CALCULO'!D66</f>
        <v>11</v>
      </c>
      <c r="G25" s="30" t="s">
        <v>12</v>
      </c>
      <c r="H25" s="53">
        <f>12.74/1.23</f>
        <v>10.357723577235772</v>
      </c>
      <c r="I25" s="54">
        <f>L15*H25+H25</f>
        <v>12.795931707317074</v>
      </c>
      <c r="J25" s="55"/>
      <c r="K25" s="55"/>
      <c r="L25" s="56">
        <f t="shared" si="0"/>
        <v>140.75524878048782</v>
      </c>
    </row>
    <row r="26" spans="2:12" ht="25.5">
      <c r="B26" s="28" t="s">
        <v>107</v>
      </c>
      <c r="C26" s="29" t="s">
        <v>159</v>
      </c>
      <c r="D26" s="37" t="s">
        <v>19</v>
      </c>
      <c r="E26" s="41" t="s">
        <v>91</v>
      </c>
      <c r="F26" s="42">
        <f>'MEMORIAL DE CALCULO'!D70</f>
        <v>18</v>
      </c>
      <c r="G26" s="30" t="s">
        <v>12</v>
      </c>
      <c r="H26" s="53">
        <f>50.47/1.23</f>
        <v>41.03252032520325</v>
      </c>
      <c r="I26" s="54">
        <f>L15*H26+H26</f>
        <v>50.6915756097561</v>
      </c>
      <c r="J26" s="55"/>
      <c r="K26" s="55"/>
      <c r="L26" s="56">
        <f t="shared" si="0"/>
        <v>912.4483609756098</v>
      </c>
    </row>
    <row r="27" spans="2:12" ht="26.25" thickBot="1">
      <c r="B27" s="103" t="s">
        <v>111</v>
      </c>
      <c r="C27" s="104" t="s">
        <v>159</v>
      </c>
      <c r="D27" s="83" t="s">
        <v>96</v>
      </c>
      <c r="E27" s="84" t="s">
        <v>95</v>
      </c>
      <c r="F27" s="105">
        <f>'MEMORIAL DE CALCULO'!E74</f>
        <v>3.5999999999999996</v>
      </c>
      <c r="G27" s="106" t="s">
        <v>76</v>
      </c>
      <c r="H27" s="107">
        <f>37.11/1.23</f>
        <v>30.170731707317074</v>
      </c>
      <c r="I27" s="108">
        <f>L15*H27+H27</f>
        <v>37.272921951219516</v>
      </c>
      <c r="J27" s="109"/>
      <c r="K27" s="109"/>
      <c r="L27" s="110">
        <f t="shared" si="0"/>
        <v>134.18251902439025</v>
      </c>
    </row>
    <row r="28" spans="2:12" ht="24" customHeight="1" thickBot="1">
      <c r="B28" s="74">
        <v>3</v>
      </c>
      <c r="C28" s="75"/>
      <c r="D28" s="76"/>
      <c r="E28" s="77" t="s">
        <v>112</v>
      </c>
      <c r="F28" s="76"/>
      <c r="G28" s="78"/>
      <c r="H28" s="79"/>
      <c r="I28" s="111"/>
      <c r="J28" s="111"/>
      <c r="K28" s="111"/>
      <c r="L28" s="102">
        <f>SUM(L29:L31)</f>
        <v>9376.665912195122</v>
      </c>
    </row>
    <row r="29" spans="2:12" ht="26.25">
      <c r="B29" s="66" t="s">
        <v>17</v>
      </c>
      <c r="C29" s="67" t="s">
        <v>159</v>
      </c>
      <c r="D29" s="59" t="s">
        <v>14</v>
      </c>
      <c r="E29" s="68" t="s">
        <v>99</v>
      </c>
      <c r="F29" s="69">
        <v>2</v>
      </c>
      <c r="G29" s="69" t="s">
        <v>12</v>
      </c>
      <c r="H29" s="70">
        <f>1542/1.23</f>
        <v>1253.658536585366</v>
      </c>
      <c r="I29" s="71">
        <f>L15*H29+H29</f>
        <v>1548.7697560975612</v>
      </c>
      <c r="J29" s="72">
        <v>1215.28</v>
      </c>
      <c r="K29" s="72">
        <f aca="true" t="shared" si="1" ref="K29:K31">J29/1.23</f>
        <v>988.0325203252032</v>
      </c>
      <c r="L29" s="73">
        <f>I29*F29</f>
        <v>3097.5395121951224</v>
      </c>
    </row>
    <row r="30" spans="2:12" ht="26.25">
      <c r="B30" s="28" t="s">
        <v>103</v>
      </c>
      <c r="C30" s="29" t="s">
        <v>159</v>
      </c>
      <c r="D30" s="37" t="s">
        <v>101</v>
      </c>
      <c r="E30" s="31" t="s">
        <v>100</v>
      </c>
      <c r="F30" s="32">
        <v>2</v>
      </c>
      <c r="G30" s="32" t="s">
        <v>12</v>
      </c>
      <c r="H30" s="33">
        <f>1345.69/1.23</f>
        <v>1094.0569105691056</v>
      </c>
      <c r="I30" s="34">
        <f>L15*H30+H30</f>
        <v>1351.5979073170731</v>
      </c>
      <c r="J30" s="35"/>
      <c r="K30" s="35"/>
      <c r="L30" s="36">
        <f>I30*F30</f>
        <v>2703.1958146341462</v>
      </c>
    </row>
    <row r="31" spans="2:12" ht="27" thickBot="1">
      <c r="B31" s="103" t="s">
        <v>104</v>
      </c>
      <c r="C31" s="104" t="s">
        <v>159</v>
      </c>
      <c r="D31" s="112" t="s">
        <v>16</v>
      </c>
      <c r="E31" s="113" t="s">
        <v>102</v>
      </c>
      <c r="F31" s="114">
        <v>5</v>
      </c>
      <c r="G31" s="114" t="s">
        <v>12</v>
      </c>
      <c r="H31" s="115">
        <f>712.06/1.23</f>
        <v>578.910569105691</v>
      </c>
      <c r="I31" s="116">
        <f>L15*H31+H31</f>
        <v>715.1861170731706</v>
      </c>
      <c r="J31" s="117">
        <v>655.49</v>
      </c>
      <c r="K31" s="117">
        <f t="shared" si="1"/>
        <v>532.9186991869918</v>
      </c>
      <c r="L31" s="118">
        <f>I31*F31</f>
        <v>3575.9305853658534</v>
      </c>
    </row>
    <row r="32" spans="2:12" ht="23.25" customHeight="1" thickBot="1">
      <c r="B32" s="74">
        <v>4</v>
      </c>
      <c r="C32" s="75"/>
      <c r="D32" s="76"/>
      <c r="E32" s="77" t="s">
        <v>57</v>
      </c>
      <c r="F32" s="76"/>
      <c r="G32" s="78"/>
      <c r="H32" s="79"/>
      <c r="I32" s="111"/>
      <c r="J32" s="111"/>
      <c r="K32" s="111"/>
      <c r="L32" s="102">
        <f>SUM(L33:L35)</f>
        <v>15569.22913990244</v>
      </c>
    </row>
    <row r="33" spans="2:12" ht="25.5">
      <c r="B33" s="122" t="s">
        <v>18</v>
      </c>
      <c r="C33" s="123" t="s">
        <v>159</v>
      </c>
      <c r="D33" s="90" t="s">
        <v>106</v>
      </c>
      <c r="E33" s="119" t="s">
        <v>105</v>
      </c>
      <c r="F33" s="58">
        <f>F34+F35</f>
        <v>134</v>
      </c>
      <c r="G33" s="59" t="s">
        <v>76</v>
      </c>
      <c r="H33" s="60">
        <f>5.77/1.23</f>
        <v>4.691056910569105</v>
      </c>
      <c r="I33" s="61">
        <f>L15*H33+H33</f>
        <v>5.7953317073170725</v>
      </c>
      <c r="J33" s="62"/>
      <c r="K33" s="62"/>
      <c r="L33" s="63">
        <f>I33*F33</f>
        <v>776.5744487804877</v>
      </c>
    </row>
    <row r="34" spans="2:12" ht="30">
      <c r="B34" s="199" t="s">
        <v>20</v>
      </c>
      <c r="C34" s="200" t="s">
        <v>159</v>
      </c>
      <c r="D34" s="134" t="s">
        <v>60</v>
      </c>
      <c r="E34" s="2" t="s">
        <v>164</v>
      </c>
      <c r="F34" s="105">
        <v>98</v>
      </c>
      <c r="G34" s="106" t="s">
        <v>76</v>
      </c>
      <c r="H34" s="107">
        <f>111.5/1.23</f>
        <v>90.65040650406505</v>
      </c>
      <c r="I34" s="108">
        <f>L15*H34+H34</f>
        <v>111.98951219512196</v>
      </c>
      <c r="J34" s="109"/>
      <c r="K34" s="109"/>
      <c r="L34" s="110">
        <f>I34*F34</f>
        <v>10974.972195121953</v>
      </c>
    </row>
    <row r="35" spans="2:12" ht="15.75" thickBot="1">
      <c r="B35" s="103" t="s">
        <v>220</v>
      </c>
      <c r="C35" s="104" t="s">
        <v>160</v>
      </c>
      <c r="D35" s="120" t="s">
        <v>161</v>
      </c>
      <c r="E35" s="121" t="s">
        <v>133</v>
      </c>
      <c r="F35" s="114">
        <v>36</v>
      </c>
      <c r="G35" s="114" t="s">
        <v>7</v>
      </c>
      <c r="H35" s="115">
        <v>85.84</v>
      </c>
      <c r="I35" s="116">
        <f>L15*H35+H35</f>
        <v>106.04673600000001</v>
      </c>
      <c r="J35" s="117">
        <v>110.92</v>
      </c>
      <c r="K35" s="117">
        <f>J35/1.23</f>
        <v>90.1788617886179</v>
      </c>
      <c r="L35" s="118">
        <f>I35*F35</f>
        <v>3817.6824960000004</v>
      </c>
    </row>
    <row r="36" spans="2:12" ht="24" customHeight="1" thickBot="1">
      <c r="B36" s="74">
        <v>5</v>
      </c>
      <c r="C36" s="75"/>
      <c r="D36" s="76"/>
      <c r="E36" s="77" t="s">
        <v>113</v>
      </c>
      <c r="F36" s="76"/>
      <c r="G36" s="78"/>
      <c r="H36" s="79"/>
      <c r="I36" s="111"/>
      <c r="J36" s="111"/>
      <c r="K36" s="111"/>
      <c r="L36" s="102">
        <f>SUM(L37:L52)</f>
        <v>39315.769749073166</v>
      </c>
    </row>
    <row r="37" spans="2:12" ht="25.5">
      <c r="B37" s="122" t="s">
        <v>39</v>
      </c>
      <c r="C37" s="123" t="s">
        <v>159</v>
      </c>
      <c r="D37" s="59" t="s">
        <v>21</v>
      </c>
      <c r="E37" s="119" t="s">
        <v>134</v>
      </c>
      <c r="F37" s="58">
        <v>25.01</v>
      </c>
      <c r="G37" s="58" t="s">
        <v>9</v>
      </c>
      <c r="H37" s="124">
        <f>8.24/1.23</f>
        <v>6.699186991869919</v>
      </c>
      <c r="I37" s="125">
        <f>L15*H37+H37</f>
        <v>8.276175609756098</v>
      </c>
      <c r="J37" s="126">
        <v>8.24</v>
      </c>
      <c r="K37" s="127">
        <f aca="true" t="shared" si="2" ref="K37:K52">J37/1.23</f>
        <v>6.699186991869919</v>
      </c>
      <c r="L37" s="128">
        <f aca="true" t="shared" si="3" ref="L37:L52">I37*F37</f>
        <v>206.98715200000004</v>
      </c>
    </row>
    <row r="38" spans="2:12" ht="15">
      <c r="B38" s="39" t="s">
        <v>41</v>
      </c>
      <c r="C38" s="40" t="s">
        <v>159</v>
      </c>
      <c r="D38" s="30" t="s">
        <v>22</v>
      </c>
      <c r="E38" s="57" t="s">
        <v>135</v>
      </c>
      <c r="F38" s="42">
        <v>2</v>
      </c>
      <c r="G38" s="42" t="s">
        <v>12</v>
      </c>
      <c r="H38" s="43">
        <f>81.09/1.23</f>
        <v>65.92682926829269</v>
      </c>
      <c r="I38" s="44">
        <f>L15*H38+H38</f>
        <v>81.4460048780488</v>
      </c>
      <c r="J38" s="45">
        <v>75.89</v>
      </c>
      <c r="K38" s="64">
        <f t="shared" si="2"/>
        <v>61.69918699186992</v>
      </c>
      <c r="L38" s="46">
        <f t="shared" si="3"/>
        <v>162.8920097560976</v>
      </c>
    </row>
    <row r="39" spans="2:12" ht="15">
      <c r="B39" s="39" t="s">
        <v>43</v>
      </c>
      <c r="C39" s="40" t="s">
        <v>159</v>
      </c>
      <c r="D39" s="30" t="s">
        <v>23</v>
      </c>
      <c r="E39" s="57" t="s">
        <v>136</v>
      </c>
      <c r="F39" s="42">
        <v>2</v>
      </c>
      <c r="G39" s="42" t="s">
        <v>12</v>
      </c>
      <c r="H39" s="43">
        <f>155.35/1.23</f>
        <v>126.30081300813008</v>
      </c>
      <c r="I39" s="44">
        <f>L15*H39+H39</f>
        <v>156.0320243902439</v>
      </c>
      <c r="J39" s="45">
        <v>136.04</v>
      </c>
      <c r="K39" s="64">
        <f t="shared" si="2"/>
        <v>110.60162601626016</v>
      </c>
      <c r="L39" s="46">
        <f t="shared" si="3"/>
        <v>312.0640487804878</v>
      </c>
    </row>
    <row r="40" spans="2:12" ht="30" customHeight="1">
      <c r="B40" s="39" t="s">
        <v>45</v>
      </c>
      <c r="C40" s="40" t="s">
        <v>159</v>
      </c>
      <c r="D40" s="30" t="s">
        <v>24</v>
      </c>
      <c r="E40" s="41" t="s">
        <v>137</v>
      </c>
      <c r="F40" s="42">
        <v>5</v>
      </c>
      <c r="G40" s="42" t="s">
        <v>12</v>
      </c>
      <c r="H40" s="43">
        <f>542.44/1.23</f>
        <v>441.00813008130086</v>
      </c>
      <c r="I40" s="44">
        <f>L15*H40+H40</f>
        <v>544.8214439024391</v>
      </c>
      <c r="J40" s="45">
        <v>605.05</v>
      </c>
      <c r="K40" s="64">
        <f t="shared" si="2"/>
        <v>491.910569105691</v>
      </c>
      <c r="L40" s="46">
        <f t="shared" si="3"/>
        <v>2724.1072195121956</v>
      </c>
    </row>
    <row r="41" spans="2:12" ht="25.5">
      <c r="B41" s="39" t="s">
        <v>114</v>
      </c>
      <c r="C41" s="40" t="s">
        <v>159</v>
      </c>
      <c r="D41" s="30" t="s">
        <v>25</v>
      </c>
      <c r="E41" s="41" t="s">
        <v>138</v>
      </c>
      <c r="F41" s="42">
        <v>4</v>
      </c>
      <c r="G41" s="42" t="s">
        <v>12</v>
      </c>
      <c r="H41" s="43">
        <f>482.05/1.23</f>
        <v>391.9105691056911</v>
      </c>
      <c r="I41" s="44">
        <f>L15*H41+H41</f>
        <v>484.1663170731708</v>
      </c>
      <c r="J41" s="45">
        <v>463.64</v>
      </c>
      <c r="K41" s="64">
        <f t="shared" si="2"/>
        <v>376.9430894308943</v>
      </c>
      <c r="L41" s="46">
        <f t="shared" si="3"/>
        <v>1936.665268292683</v>
      </c>
    </row>
    <row r="42" spans="2:12" ht="15">
      <c r="B42" s="39" t="s">
        <v>115</v>
      </c>
      <c r="C42" s="40" t="s">
        <v>159</v>
      </c>
      <c r="D42" s="30" t="s">
        <v>26</v>
      </c>
      <c r="E42" s="41" t="s">
        <v>139</v>
      </c>
      <c r="F42" s="42">
        <v>20</v>
      </c>
      <c r="G42" s="42" t="s">
        <v>9</v>
      </c>
      <c r="H42" s="43">
        <f>27.98/1.23</f>
        <v>22.7479674796748</v>
      </c>
      <c r="I42" s="44">
        <f>L15*H42+H42</f>
        <v>28.102839024390246</v>
      </c>
      <c r="J42" s="45">
        <v>27.43</v>
      </c>
      <c r="K42" s="64">
        <f t="shared" si="2"/>
        <v>22.30081300813008</v>
      </c>
      <c r="L42" s="46">
        <f t="shared" si="3"/>
        <v>562.0567804878049</v>
      </c>
    </row>
    <row r="43" spans="2:12" ht="15">
      <c r="B43" s="39" t="s">
        <v>116</v>
      </c>
      <c r="C43" s="40" t="s">
        <v>159</v>
      </c>
      <c r="D43" s="30" t="s">
        <v>27</v>
      </c>
      <c r="E43" s="41" t="s">
        <v>140</v>
      </c>
      <c r="F43" s="42">
        <v>25</v>
      </c>
      <c r="G43" s="42" t="s">
        <v>9</v>
      </c>
      <c r="H43" s="43">
        <f>60.29/1.23</f>
        <v>49.016260162601625</v>
      </c>
      <c r="I43" s="44">
        <f>L15*H43+H43</f>
        <v>60.55468780487805</v>
      </c>
      <c r="J43" s="45">
        <v>58.06</v>
      </c>
      <c r="K43" s="64">
        <f t="shared" si="2"/>
        <v>47.203252032520325</v>
      </c>
      <c r="L43" s="46">
        <f t="shared" si="3"/>
        <v>1513.8671951219512</v>
      </c>
    </row>
    <row r="44" spans="2:12" ht="15">
      <c r="B44" s="39" t="s">
        <v>117</v>
      </c>
      <c r="C44" s="40" t="s">
        <v>159</v>
      </c>
      <c r="D44" s="30" t="s">
        <v>28</v>
      </c>
      <c r="E44" s="41" t="s">
        <v>141</v>
      </c>
      <c r="F44" s="42">
        <v>18</v>
      </c>
      <c r="G44" s="42" t="s">
        <v>9</v>
      </c>
      <c r="H44" s="43">
        <f>129.78/1.23</f>
        <v>105.51219512195122</v>
      </c>
      <c r="I44" s="44">
        <f>L15*H44+H44</f>
        <v>130.34976585365854</v>
      </c>
      <c r="J44" s="45">
        <v>118.56</v>
      </c>
      <c r="K44" s="64">
        <f t="shared" si="2"/>
        <v>96.39024390243902</v>
      </c>
      <c r="L44" s="46">
        <f t="shared" si="3"/>
        <v>2346.2957853658536</v>
      </c>
    </row>
    <row r="45" spans="2:12" ht="25.5">
      <c r="B45" s="39" t="s">
        <v>118</v>
      </c>
      <c r="C45" s="40" t="s">
        <v>159</v>
      </c>
      <c r="D45" s="30" t="s">
        <v>29</v>
      </c>
      <c r="E45" s="41" t="s">
        <v>142</v>
      </c>
      <c r="F45" s="42">
        <v>24</v>
      </c>
      <c r="G45" s="42" t="s">
        <v>9</v>
      </c>
      <c r="H45" s="43">
        <f>59.25/1.23</f>
        <v>48.170731707317074</v>
      </c>
      <c r="I45" s="44">
        <f>L15*H45+H45</f>
        <v>59.51012195121952</v>
      </c>
      <c r="J45" s="45">
        <v>58.48</v>
      </c>
      <c r="K45" s="64">
        <f t="shared" si="2"/>
        <v>47.544715447154466</v>
      </c>
      <c r="L45" s="46">
        <f t="shared" si="3"/>
        <v>1428.2429268292685</v>
      </c>
    </row>
    <row r="46" spans="2:12" ht="25.5">
      <c r="B46" s="39" t="s">
        <v>119</v>
      </c>
      <c r="C46" s="40" t="s">
        <v>159</v>
      </c>
      <c r="D46" s="30" t="s">
        <v>30</v>
      </c>
      <c r="E46" s="41" t="s">
        <v>143</v>
      </c>
      <c r="F46" s="42">
        <v>15</v>
      </c>
      <c r="G46" s="42" t="s">
        <v>9</v>
      </c>
      <c r="H46" s="43">
        <f>79.83/1.23</f>
        <v>64.90243902439025</v>
      </c>
      <c r="I46" s="44">
        <f>L15*H46+H46</f>
        <v>80.18047317073172</v>
      </c>
      <c r="J46" s="45">
        <v>77.7</v>
      </c>
      <c r="K46" s="64">
        <f t="shared" si="2"/>
        <v>63.170731707317074</v>
      </c>
      <c r="L46" s="46">
        <f t="shared" si="3"/>
        <v>1202.7070975609759</v>
      </c>
    </row>
    <row r="47" spans="2:12" ht="25.5">
      <c r="B47" s="39" t="s">
        <v>120</v>
      </c>
      <c r="C47" s="40" t="s">
        <v>159</v>
      </c>
      <c r="D47" s="30" t="s">
        <v>31</v>
      </c>
      <c r="E47" s="41" t="s">
        <v>144</v>
      </c>
      <c r="F47" s="42">
        <v>2</v>
      </c>
      <c r="G47" s="42" t="s">
        <v>12</v>
      </c>
      <c r="H47" s="43">
        <f>104.44/1.23</f>
        <v>84.91056910569105</v>
      </c>
      <c r="I47" s="44">
        <f>L15*H47+H47</f>
        <v>104.89851707317072</v>
      </c>
      <c r="J47" s="45">
        <v>99.91</v>
      </c>
      <c r="K47" s="64">
        <f t="shared" si="2"/>
        <v>81.22764227642276</v>
      </c>
      <c r="L47" s="46">
        <f t="shared" si="3"/>
        <v>209.79703414634145</v>
      </c>
    </row>
    <row r="48" spans="2:12" ht="25.5">
      <c r="B48" s="39" t="s">
        <v>121</v>
      </c>
      <c r="C48" s="40" t="s">
        <v>159</v>
      </c>
      <c r="D48" s="30" t="s">
        <v>32</v>
      </c>
      <c r="E48" s="41" t="s">
        <v>145</v>
      </c>
      <c r="F48" s="42">
        <v>4.2</v>
      </c>
      <c r="G48" s="42" t="s">
        <v>9</v>
      </c>
      <c r="H48" s="43">
        <f>2211.18/1.23</f>
        <v>1797.7073170731705</v>
      </c>
      <c r="I48" s="44">
        <f>L15*H48+H48</f>
        <v>2220.8876195121948</v>
      </c>
      <c r="J48" s="45">
        <v>2021.49</v>
      </c>
      <c r="K48" s="64">
        <f t="shared" si="2"/>
        <v>1643.4878048780488</v>
      </c>
      <c r="L48" s="46">
        <f t="shared" si="3"/>
        <v>9327.728001951218</v>
      </c>
    </row>
    <row r="49" spans="2:12" ht="15">
      <c r="B49" s="39" t="s">
        <v>122</v>
      </c>
      <c r="C49" s="40" t="s">
        <v>159</v>
      </c>
      <c r="D49" s="30" t="s">
        <v>33</v>
      </c>
      <c r="E49" s="41" t="s">
        <v>146</v>
      </c>
      <c r="F49" s="42">
        <v>5</v>
      </c>
      <c r="G49" s="42" t="s">
        <v>12</v>
      </c>
      <c r="H49" s="43">
        <f>375.1/1.23</f>
        <v>304.959349593496</v>
      </c>
      <c r="I49" s="44">
        <f>L15*H49+H49</f>
        <v>376.7467804878049</v>
      </c>
      <c r="J49" s="45">
        <v>339.33</v>
      </c>
      <c r="K49" s="64">
        <f t="shared" si="2"/>
        <v>275.8780487804878</v>
      </c>
      <c r="L49" s="46">
        <f t="shared" si="3"/>
        <v>1883.7339024390246</v>
      </c>
    </row>
    <row r="50" spans="2:12" ht="15">
      <c r="B50" s="39" t="s">
        <v>123</v>
      </c>
      <c r="C50" s="40" t="s">
        <v>159</v>
      </c>
      <c r="D50" s="30" t="s">
        <v>34</v>
      </c>
      <c r="E50" s="41" t="s">
        <v>147</v>
      </c>
      <c r="F50" s="42">
        <v>4</v>
      </c>
      <c r="G50" s="42" t="s">
        <v>12</v>
      </c>
      <c r="H50" s="43">
        <f>590.27/1.23</f>
        <v>479.8943089430894</v>
      </c>
      <c r="I50" s="44">
        <f>L15*H50+H50</f>
        <v>592.8614292682927</v>
      </c>
      <c r="J50" s="45">
        <v>588.52</v>
      </c>
      <c r="K50" s="64">
        <f t="shared" si="2"/>
        <v>478.4715447154471</v>
      </c>
      <c r="L50" s="46">
        <f t="shared" si="3"/>
        <v>2371.4457170731707</v>
      </c>
    </row>
    <row r="51" spans="2:12" ht="15">
      <c r="B51" s="39" t="s">
        <v>124</v>
      </c>
      <c r="C51" s="40" t="s">
        <v>159</v>
      </c>
      <c r="D51" s="30" t="s">
        <v>35</v>
      </c>
      <c r="E51" s="57" t="s">
        <v>148</v>
      </c>
      <c r="F51" s="42">
        <v>2</v>
      </c>
      <c r="G51" s="42" t="s">
        <v>36</v>
      </c>
      <c r="H51" s="43">
        <f>4118.42/1.23</f>
        <v>3348.308943089431</v>
      </c>
      <c r="I51" s="44">
        <f>L15*H51+H51</f>
        <v>4136.500868292683</v>
      </c>
      <c r="J51" s="45">
        <v>3668.3</v>
      </c>
      <c r="K51" s="64">
        <f t="shared" si="2"/>
        <v>2982.357723577236</v>
      </c>
      <c r="L51" s="46">
        <f t="shared" si="3"/>
        <v>8273.001736585366</v>
      </c>
    </row>
    <row r="52" spans="2:12" ht="15.75" thickBot="1">
      <c r="B52" s="81" t="s">
        <v>125</v>
      </c>
      <c r="C52" s="82" t="s">
        <v>159</v>
      </c>
      <c r="D52" s="112" t="s">
        <v>37</v>
      </c>
      <c r="E52" s="129" t="s">
        <v>149</v>
      </c>
      <c r="F52" s="85">
        <v>8</v>
      </c>
      <c r="G52" s="85" t="s">
        <v>38</v>
      </c>
      <c r="H52" s="86">
        <f>604.12/1.23</f>
        <v>491.1544715447155</v>
      </c>
      <c r="I52" s="87">
        <f>L15*H52+H52</f>
        <v>606.7722341463415</v>
      </c>
      <c r="J52" s="88">
        <v>581.39</v>
      </c>
      <c r="K52" s="130">
        <f t="shared" si="2"/>
        <v>472.6747967479675</v>
      </c>
      <c r="L52" s="89">
        <f t="shared" si="3"/>
        <v>4854.177873170732</v>
      </c>
    </row>
    <row r="53" spans="2:12" ht="24" customHeight="1" thickBot="1">
      <c r="B53" s="74">
        <v>6</v>
      </c>
      <c r="C53" s="75"/>
      <c r="D53" s="76"/>
      <c r="E53" s="77" t="s">
        <v>126</v>
      </c>
      <c r="F53" s="76"/>
      <c r="G53" s="78"/>
      <c r="H53" s="79"/>
      <c r="I53" s="111"/>
      <c r="J53" s="111"/>
      <c r="K53" s="111"/>
      <c r="L53" s="102">
        <f>SUM(L54:L56)</f>
        <v>11705.40495609756</v>
      </c>
    </row>
    <row r="54" spans="2:12" ht="15">
      <c r="B54" s="66" t="s">
        <v>47</v>
      </c>
      <c r="C54" s="67" t="s">
        <v>159</v>
      </c>
      <c r="D54" s="59" t="s">
        <v>40</v>
      </c>
      <c r="E54" s="131" t="s">
        <v>150</v>
      </c>
      <c r="F54" s="69">
        <v>74</v>
      </c>
      <c r="G54" s="69" t="s">
        <v>7</v>
      </c>
      <c r="H54" s="70">
        <f>46.16/1.23</f>
        <v>37.52845528455284</v>
      </c>
      <c r="I54" s="71">
        <f>L15*H54+H54</f>
        <v>46.36265365853658</v>
      </c>
      <c r="J54" s="72">
        <v>45.47</v>
      </c>
      <c r="K54" s="72">
        <f aca="true" t="shared" si="4" ref="K54:K56">J54/1.23</f>
        <v>36.96747967479675</v>
      </c>
      <c r="L54" s="73">
        <f>I54*F54</f>
        <v>3430.836370731707</v>
      </c>
    </row>
    <row r="55" spans="2:12" ht="15">
      <c r="B55" s="28" t="s">
        <v>49</v>
      </c>
      <c r="C55" s="29" t="s">
        <v>159</v>
      </c>
      <c r="D55" s="30" t="s">
        <v>42</v>
      </c>
      <c r="E55" s="38" t="s">
        <v>151</v>
      </c>
      <c r="F55" s="32">
        <v>74</v>
      </c>
      <c r="G55" s="32" t="s">
        <v>7</v>
      </c>
      <c r="H55" s="33">
        <f>108.05/1.23</f>
        <v>87.84552845528455</v>
      </c>
      <c r="I55" s="34">
        <f>L15*H55+H55</f>
        <v>108.52436585365854</v>
      </c>
      <c r="J55" s="35">
        <v>107.15</v>
      </c>
      <c r="K55" s="35">
        <f t="shared" si="4"/>
        <v>87.11382113821139</v>
      </c>
      <c r="L55" s="36">
        <f>I55*F55</f>
        <v>8030.803073170731</v>
      </c>
    </row>
    <row r="56" spans="2:12" ht="15.75" thickBot="1">
      <c r="B56" s="103" t="s">
        <v>51</v>
      </c>
      <c r="C56" s="104" t="s">
        <v>159</v>
      </c>
      <c r="D56" s="112" t="s">
        <v>46</v>
      </c>
      <c r="E56" s="121" t="s">
        <v>152</v>
      </c>
      <c r="F56" s="114">
        <v>15</v>
      </c>
      <c r="G56" s="114" t="s">
        <v>9</v>
      </c>
      <c r="H56" s="115">
        <f>16.18/1.23</f>
        <v>13.154471544715447</v>
      </c>
      <c r="I56" s="116">
        <f>L15*H56+H56</f>
        <v>16.251034146341464</v>
      </c>
      <c r="J56" s="117">
        <v>16.55</v>
      </c>
      <c r="K56" s="117">
        <f t="shared" si="4"/>
        <v>13.45528455284553</v>
      </c>
      <c r="L56" s="118">
        <f>I56*F56</f>
        <v>243.76551219512197</v>
      </c>
    </row>
    <row r="57" spans="2:12" ht="19.5" customHeight="1" thickBot="1">
      <c r="B57" s="74">
        <v>7</v>
      </c>
      <c r="C57" s="75"/>
      <c r="D57" s="76"/>
      <c r="E57" s="77" t="s">
        <v>58</v>
      </c>
      <c r="F57" s="76"/>
      <c r="G57" s="78"/>
      <c r="H57" s="79"/>
      <c r="I57" s="111"/>
      <c r="J57" s="111"/>
      <c r="K57" s="111"/>
      <c r="L57" s="102">
        <f>SUM(L58:L61)</f>
        <v>8959.482380487805</v>
      </c>
    </row>
    <row r="58" spans="2:12" ht="15">
      <c r="B58" s="66" t="s">
        <v>128</v>
      </c>
      <c r="C58" s="67" t="s">
        <v>159</v>
      </c>
      <c r="D58" s="59" t="s">
        <v>48</v>
      </c>
      <c r="E58" s="131" t="s">
        <v>153</v>
      </c>
      <c r="F58" s="69">
        <f>F23</f>
        <v>30.3</v>
      </c>
      <c r="G58" s="69" t="s">
        <v>7</v>
      </c>
      <c r="H58" s="70">
        <f>43.66/1.23</f>
        <v>35.49593495934959</v>
      </c>
      <c r="I58" s="71">
        <f>L15*H58+H58</f>
        <v>43.851678048780485</v>
      </c>
      <c r="J58" s="72">
        <v>37.28</v>
      </c>
      <c r="K58" s="132">
        <f aca="true" t="shared" si="5" ref="K58:K61">J58/1.23</f>
        <v>30.308943089430894</v>
      </c>
      <c r="L58" s="73">
        <f>I58*F58</f>
        <v>1328.7058448780488</v>
      </c>
    </row>
    <row r="59" spans="2:12" ht="15">
      <c r="B59" s="28" t="s">
        <v>129</v>
      </c>
      <c r="C59" s="29" t="s">
        <v>159</v>
      </c>
      <c r="D59" s="30" t="s">
        <v>50</v>
      </c>
      <c r="E59" s="38" t="s">
        <v>154</v>
      </c>
      <c r="F59" s="32">
        <f>F58</f>
        <v>30.3</v>
      </c>
      <c r="G59" s="32" t="s">
        <v>7</v>
      </c>
      <c r="H59" s="33">
        <f>9.73/1.23</f>
        <v>7.910569105691057</v>
      </c>
      <c r="I59" s="34">
        <f>L15*H59+H59</f>
        <v>9.772717073170732</v>
      </c>
      <c r="J59" s="35">
        <v>8.17</v>
      </c>
      <c r="K59" s="65">
        <f t="shared" si="5"/>
        <v>6.642276422764228</v>
      </c>
      <c r="L59" s="36">
        <f>I59*F59</f>
        <v>296.1133273170732</v>
      </c>
    </row>
    <row r="60" spans="2:12" ht="15">
      <c r="B60" s="28" t="s">
        <v>130</v>
      </c>
      <c r="C60" s="29" t="s">
        <v>159</v>
      </c>
      <c r="D60" s="30" t="s">
        <v>52</v>
      </c>
      <c r="E60" s="38" t="s">
        <v>155</v>
      </c>
      <c r="F60" s="32">
        <f>F58</f>
        <v>30.3</v>
      </c>
      <c r="G60" s="32" t="s">
        <v>7</v>
      </c>
      <c r="H60" s="33">
        <f>207.33/1.23</f>
        <v>168.5609756097561</v>
      </c>
      <c r="I60" s="34">
        <f>L15*H60+H60</f>
        <v>208.2402292682927</v>
      </c>
      <c r="J60" s="35">
        <v>131.13</v>
      </c>
      <c r="K60" s="65">
        <f t="shared" si="5"/>
        <v>106.60975609756098</v>
      </c>
      <c r="L60" s="36">
        <f>I60*F60</f>
        <v>6309.678946829269</v>
      </c>
    </row>
    <row r="61" spans="2:12" ht="27" thickBot="1">
      <c r="B61" s="103" t="s">
        <v>131</v>
      </c>
      <c r="C61" s="104" t="s">
        <v>159</v>
      </c>
      <c r="D61" s="112" t="s">
        <v>54</v>
      </c>
      <c r="E61" s="113" t="s">
        <v>156</v>
      </c>
      <c r="F61" s="114">
        <f>F58</f>
        <v>30.3</v>
      </c>
      <c r="G61" s="114" t="s">
        <v>7</v>
      </c>
      <c r="H61" s="115">
        <f>33.68/1.23</f>
        <v>27.382113821138212</v>
      </c>
      <c r="I61" s="116">
        <f>L15*H61+H61</f>
        <v>33.827863414634145</v>
      </c>
      <c r="J61" s="117">
        <v>30.25</v>
      </c>
      <c r="K61" s="133">
        <f t="shared" si="5"/>
        <v>24.59349593495935</v>
      </c>
      <c r="L61" s="118">
        <f>I61*F61</f>
        <v>1024.9842614634147</v>
      </c>
    </row>
    <row r="62" spans="2:12" ht="15.75" thickBot="1">
      <c r="B62" s="74">
        <v>8</v>
      </c>
      <c r="C62" s="75"/>
      <c r="D62" s="76"/>
      <c r="E62" s="77" t="s">
        <v>195</v>
      </c>
      <c r="F62" s="76"/>
      <c r="G62" s="78"/>
      <c r="H62" s="79"/>
      <c r="I62" s="111"/>
      <c r="J62" s="111"/>
      <c r="K62" s="111"/>
      <c r="L62" s="102">
        <f>SUM(L63:L73)</f>
        <v>5359.661167902439</v>
      </c>
    </row>
    <row r="63" spans="2:12" ht="15">
      <c r="B63" s="167" t="s">
        <v>207</v>
      </c>
      <c r="C63" s="168" t="s">
        <v>169</v>
      </c>
      <c r="D63" s="169"/>
      <c r="E63" s="170"/>
      <c r="F63" s="171"/>
      <c r="G63" s="172"/>
      <c r="H63" s="173"/>
      <c r="I63" s="173"/>
      <c r="J63" s="174">
        <f>J64+J65</f>
        <v>171.8782892682927</v>
      </c>
      <c r="K63" s="175"/>
      <c r="L63" s="176"/>
    </row>
    <row r="64" spans="2:12" ht="15">
      <c r="B64" s="177" t="s">
        <v>208</v>
      </c>
      <c r="C64" s="139" t="s">
        <v>159</v>
      </c>
      <c r="D64" s="140" t="s">
        <v>171</v>
      </c>
      <c r="E64" s="141" t="s">
        <v>172</v>
      </c>
      <c r="F64" s="142">
        <f>'MEMORIAL DE CALCULO'!G84</f>
        <v>0.1</v>
      </c>
      <c r="G64" s="143" t="s">
        <v>173</v>
      </c>
      <c r="H64" s="144">
        <f>226.81/1.23</f>
        <v>184.39837398373984</v>
      </c>
      <c r="I64" s="144">
        <f>L15*H64+H64</f>
        <v>227.80575121951222</v>
      </c>
      <c r="J64" s="144">
        <f>I64*F64</f>
        <v>22.780575121951223</v>
      </c>
      <c r="K64" s="137"/>
      <c r="L64" s="36">
        <f>I64*F64</f>
        <v>22.780575121951223</v>
      </c>
    </row>
    <row r="65" spans="2:12" ht="15">
      <c r="B65" s="177" t="s">
        <v>209</v>
      </c>
      <c r="C65" s="139" t="s">
        <v>159</v>
      </c>
      <c r="D65" s="145" t="s">
        <v>175</v>
      </c>
      <c r="E65" s="141" t="s">
        <v>176</v>
      </c>
      <c r="F65" s="142">
        <f>'MEMORIAL DE CALCULO'!F91</f>
        <v>1.8</v>
      </c>
      <c r="G65" s="143" t="s">
        <v>173</v>
      </c>
      <c r="H65" s="144">
        <f>82.47/1.23</f>
        <v>67.04878048780488</v>
      </c>
      <c r="I65" s="144">
        <f>L15*H65+H65</f>
        <v>82.83206341463415</v>
      </c>
      <c r="J65" s="144">
        <f>I65*F65</f>
        <v>149.09771414634147</v>
      </c>
      <c r="K65" s="137"/>
      <c r="L65" s="36">
        <f>I65*F65</f>
        <v>149.09771414634147</v>
      </c>
    </row>
    <row r="66" spans="2:12" ht="15">
      <c r="B66" s="178" t="s">
        <v>210</v>
      </c>
      <c r="C66" s="146" t="s">
        <v>177</v>
      </c>
      <c r="D66" s="147"/>
      <c r="E66" s="148"/>
      <c r="F66" s="149"/>
      <c r="G66" s="150"/>
      <c r="H66" s="151"/>
      <c r="I66" s="151"/>
      <c r="J66" s="152">
        <f>J67+J68</f>
        <v>4956.505151219513</v>
      </c>
      <c r="K66" s="137"/>
      <c r="L66" s="138"/>
    </row>
    <row r="67" spans="2:12" ht="15">
      <c r="B67" s="179" t="s">
        <v>211</v>
      </c>
      <c r="C67" s="154" t="s">
        <v>159</v>
      </c>
      <c r="D67" s="154" t="s">
        <v>179</v>
      </c>
      <c r="E67" s="153" t="s">
        <v>180</v>
      </c>
      <c r="F67" s="155">
        <v>1</v>
      </c>
      <c r="G67" s="154" t="s">
        <v>90</v>
      </c>
      <c r="H67" s="156">
        <f>2308.69/1.23</f>
        <v>1876.9837398373984</v>
      </c>
      <c r="I67" s="156">
        <f>L15*H67+H67</f>
        <v>2318.825712195122</v>
      </c>
      <c r="J67" s="156">
        <f>F67*I67</f>
        <v>2318.825712195122</v>
      </c>
      <c r="K67" s="137"/>
      <c r="L67" s="36">
        <f>I67*F67</f>
        <v>2318.825712195122</v>
      </c>
    </row>
    <row r="68" spans="2:12" ht="25.5">
      <c r="B68" s="179" t="s">
        <v>212</v>
      </c>
      <c r="C68" s="154" t="s">
        <v>159</v>
      </c>
      <c r="D68" s="154" t="s">
        <v>182</v>
      </c>
      <c r="E68" s="153" t="s">
        <v>183</v>
      </c>
      <c r="F68" s="155">
        <f>'MEMORIAL DE CALCULO'!B100</f>
        <v>5</v>
      </c>
      <c r="G68" s="154" t="s">
        <v>9</v>
      </c>
      <c r="H68" s="156">
        <f>525.23/1.23</f>
        <v>427.01626016260167</v>
      </c>
      <c r="I68" s="156">
        <f>L15*H68+H68</f>
        <v>527.5358878048781</v>
      </c>
      <c r="J68" s="156">
        <f>F68*I68</f>
        <v>2637.679439024391</v>
      </c>
      <c r="K68" s="137"/>
      <c r="L68" s="36">
        <f>I68*F68</f>
        <v>2637.679439024391</v>
      </c>
    </row>
    <row r="69" spans="2:12" ht="15">
      <c r="B69" s="178" t="s">
        <v>213</v>
      </c>
      <c r="C69" s="146" t="s">
        <v>184</v>
      </c>
      <c r="D69" s="147"/>
      <c r="E69" s="148"/>
      <c r="F69" s="149"/>
      <c r="G69" s="150"/>
      <c r="H69" s="151"/>
      <c r="I69" s="151"/>
      <c r="J69" s="152">
        <f>J70+J71</f>
        <v>140.2309570731707</v>
      </c>
      <c r="K69" s="137"/>
      <c r="L69" s="138"/>
    </row>
    <row r="70" spans="2:12" ht="15">
      <c r="B70" s="179" t="s">
        <v>214</v>
      </c>
      <c r="C70" s="154" t="s">
        <v>159</v>
      </c>
      <c r="D70" s="145" t="s">
        <v>186</v>
      </c>
      <c r="E70" s="141" t="s">
        <v>187</v>
      </c>
      <c r="F70" s="155">
        <f>'MEMORIAL DE CALCULO'!D106</f>
        <v>1.8</v>
      </c>
      <c r="G70" s="154" t="s">
        <v>173</v>
      </c>
      <c r="H70" s="156">
        <f>72.16/1.23</f>
        <v>58.666666666666664</v>
      </c>
      <c r="I70" s="156">
        <f>L15*H70+H70</f>
        <v>72.4768</v>
      </c>
      <c r="J70" s="156">
        <f>I70*F70</f>
        <v>130.45824</v>
      </c>
      <c r="K70" s="137"/>
      <c r="L70" s="36">
        <f>I70*F70</f>
        <v>130.45824</v>
      </c>
    </row>
    <row r="71" spans="2:12" ht="15">
      <c r="B71" s="179" t="s">
        <v>215</v>
      </c>
      <c r="C71" s="154" t="s">
        <v>159</v>
      </c>
      <c r="D71" s="145" t="s">
        <v>189</v>
      </c>
      <c r="E71" s="141" t="s">
        <v>154</v>
      </c>
      <c r="F71" s="155">
        <f>'MEMORIAL DE CALCULO'!F111</f>
        <v>1</v>
      </c>
      <c r="G71" s="154" t="s">
        <v>76</v>
      </c>
      <c r="H71" s="156">
        <f>9.73/1.23</f>
        <v>7.910569105691057</v>
      </c>
      <c r="I71" s="156">
        <f>L15*H71+H71</f>
        <v>9.772717073170732</v>
      </c>
      <c r="J71" s="156">
        <f>I71*F71</f>
        <v>9.772717073170732</v>
      </c>
      <c r="K71" s="137"/>
      <c r="L71" s="36">
        <f>I71*F71</f>
        <v>9.772717073170732</v>
      </c>
    </row>
    <row r="72" spans="2:12" ht="15">
      <c r="B72" s="179" t="s">
        <v>216</v>
      </c>
      <c r="C72" s="154" t="s">
        <v>159</v>
      </c>
      <c r="D72" s="157" t="s">
        <v>191</v>
      </c>
      <c r="E72" s="158" t="s">
        <v>192</v>
      </c>
      <c r="F72" s="155">
        <f>'MEMORIAL DE CALCULO'!F118</f>
        <v>0.24</v>
      </c>
      <c r="G72" s="154" t="s">
        <v>76</v>
      </c>
      <c r="H72" s="156">
        <f>146.62/1.23</f>
        <v>119.20325203252033</v>
      </c>
      <c r="I72" s="156">
        <f>L15*H72+H72</f>
        <v>147.2636975609756</v>
      </c>
      <c r="J72" s="156">
        <f>I72*F72</f>
        <v>35.34328741463414</v>
      </c>
      <c r="K72" s="137"/>
      <c r="L72" s="36">
        <f>I72*F72</f>
        <v>35.34328741463414</v>
      </c>
    </row>
    <row r="73" spans="2:12" ht="26.25" thickBot="1">
      <c r="B73" s="180" t="s">
        <v>217</v>
      </c>
      <c r="C73" s="181" t="s">
        <v>159</v>
      </c>
      <c r="D73" s="182" t="s">
        <v>193</v>
      </c>
      <c r="E73" s="183" t="s">
        <v>194</v>
      </c>
      <c r="F73" s="184">
        <v>1</v>
      </c>
      <c r="G73" s="181" t="s">
        <v>76</v>
      </c>
      <c r="H73" s="185">
        <f>55.46/1.23</f>
        <v>45.08943089430895</v>
      </c>
      <c r="I73" s="185">
        <f>L15*H73+H73</f>
        <v>55.703482926829274</v>
      </c>
      <c r="J73" s="185">
        <f>I73*F73</f>
        <v>55.703482926829274</v>
      </c>
      <c r="K73" s="186"/>
      <c r="L73" s="187">
        <f>I73*F73</f>
        <v>55.703482926829274</v>
      </c>
    </row>
    <row r="74" spans="2:13" ht="21" customHeight="1" thickBot="1">
      <c r="B74" s="160"/>
      <c r="C74" s="161"/>
      <c r="D74" s="162"/>
      <c r="E74" s="163" t="s">
        <v>55</v>
      </c>
      <c r="F74" s="162"/>
      <c r="G74" s="162"/>
      <c r="H74" s="164"/>
      <c r="I74" s="165"/>
      <c r="J74" s="166"/>
      <c r="K74" s="166"/>
      <c r="L74" s="159">
        <f>L57+L53+L36+L32+L28+L21+L17+L62</f>
        <v>98021.61576682926</v>
      </c>
      <c r="M74" s="135"/>
    </row>
    <row r="75" spans="2:12" ht="15">
      <c r="B75" s="4"/>
      <c r="C75" s="5"/>
      <c r="D75" s="22"/>
      <c r="E75" s="5"/>
      <c r="F75" s="6"/>
      <c r="G75" s="5"/>
      <c r="H75" s="13"/>
      <c r="I75" s="5"/>
      <c r="J75" s="5"/>
      <c r="K75" s="5"/>
      <c r="L75" s="7"/>
    </row>
    <row r="76" spans="2:12" ht="15">
      <c r="B76" s="4"/>
      <c r="C76" s="5"/>
      <c r="D76" s="22"/>
      <c r="E76" s="5"/>
      <c r="F76" s="6"/>
      <c r="G76" s="5"/>
      <c r="H76" s="202" t="s">
        <v>162</v>
      </c>
      <c r="I76" s="202"/>
      <c r="J76" s="202"/>
      <c r="K76" s="202"/>
      <c r="L76" s="203"/>
    </row>
    <row r="77" spans="2:12" ht="15">
      <c r="B77" s="4"/>
      <c r="C77" s="5"/>
      <c r="D77" s="22"/>
      <c r="E77" s="5"/>
      <c r="F77" s="6"/>
      <c r="G77" s="5"/>
      <c r="H77" s="13"/>
      <c r="I77" s="5"/>
      <c r="J77" s="5"/>
      <c r="K77" s="5"/>
      <c r="L77" s="7"/>
    </row>
    <row r="78" spans="2:12" ht="15">
      <c r="B78" s="4"/>
      <c r="C78" s="5"/>
      <c r="D78" s="22"/>
      <c r="E78" s="5"/>
      <c r="F78" s="6"/>
      <c r="G78" s="5"/>
      <c r="H78" s="202" t="s">
        <v>218</v>
      </c>
      <c r="I78" s="202"/>
      <c r="J78" s="202"/>
      <c r="K78" s="202"/>
      <c r="L78" s="203"/>
    </row>
    <row r="79" spans="2:12" ht="15">
      <c r="B79" s="4"/>
      <c r="C79" s="5"/>
      <c r="D79" s="22"/>
      <c r="E79" s="5"/>
      <c r="F79" s="6"/>
      <c r="G79" s="5"/>
      <c r="H79" s="202" t="s">
        <v>163</v>
      </c>
      <c r="I79" s="202"/>
      <c r="J79" s="202"/>
      <c r="K79" s="202"/>
      <c r="L79" s="203"/>
    </row>
    <row r="80" spans="2:12" ht="15">
      <c r="B80" s="4"/>
      <c r="C80" s="5"/>
      <c r="D80" s="22"/>
      <c r="E80" s="5"/>
      <c r="F80" s="6"/>
      <c r="G80" s="5"/>
      <c r="H80" s="202" t="s">
        <v>219</v>
      </c>
      <c r="I80" s="202"/>
      <c r="J80" s="202"/>
      <c r="K80" s="202"/>
      <c r="L80" s="203"/>
    </row>
    <row r="81" spans="2:12" ht="15">
      <c r="B81" s="4"/>
      <c r="C81" s="5"/>
      <c r="D81" s="22"/>
      <c r="E81" s="5"/>
      <c r="F81" s="6"/>
      <c r="G81" s="5"/>
      <c r="H81" s="202"/>
      <c r="I81" s="202"/>
      <c r="J81" s="202"/>
      <c r="K81" s="202"/>
      <c r="L81" s="203"/>
    </row>
    <row r="82" spans="2:12" ht="15.75" thickBot="1">
      <c r="B82" s="8"/>
      <c r="C82" s="9"/>
      <c r="D82" s="23"/>
      <c r="E82" s="9"/>
      <c r="F82" s="10"/>
      <c r="G82" s="9"/>
      <c r="H82" s="14"/>
      <c r="I82" s="9"/>
      <c r="J82" s="9"/>
      <c r="K82" s="9"/>
      <c r="L82" s="11"/>
    </row>
  </sheetData>
  <mergeCells count="6">
    <mergeCell ref="H81:L81"/>
    <mergeCell ref="B9:L9"/>
    <mergeCell ref="H76:L76"/>
    <mergeCell ref="H78:L78"/>
    <mergeCell ref="H79:L79"/>
    <mergeCell ref="H80:L80"/>
  </mergeCells>
  <printOptions horizontalCentered="1"/>
  <pageMargins left="0" right="0" top="0.7874015748031497" bottom="0.7874015748031497" header="0.31496062992125984" footer="0.31496062992125984"/>
  <pageSetup fitToHeight="2" fitToWidth="1" horizontalDpi="300" verticalDpi="3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1"/>
  <sheetViews>
    <sheetView workbookViewId="0" topLeftCell="A97">
      <selection activeCell="B121" sqref="B121"/>
    </sheetView>
  </sheetViews>
  <sheetFormatPr defaultColWidth="9.140625" defaultRowHeight="15"/>
  <cols>
    <col min="1" max="1" width="10.140625" style="0" customWidth="1"/>
  </cols>
  <sheetData>
    <row r="2" ht="15">
      <c r="A2" t="s">
        <v>77</v>
      </c>
    </row>
    <row r="4" spans="1:7" ht="15">
      <c r="A4" t="s">
        <v>65</v>
      </c>
      <c r="E4" s="17" t="s">
        <v>71</v>
      </c>
      <c r="F4" s="17">
        <f>F7+F14</f>
        <v>12.96</v>
      </c>
      <c r="G4" s="17" t="s">
        <v>67</v>
      </c>
    </row>
    <row r="5" ht="15">
      <c r="A5" t="s">
        <v>68</v>
      </c>
    </row>
    <row r="6" spans="1:6" ht="15">
      <c r="A6">
        <v>0.15</v>
      </c>
      <c r="B6" t="s">
        <v>66</v>
      </c>
      <c r="C6">
        <f>A6+A7+A8+A9+A10</f>
        <v>3.45</v>
      </c>
      <c r="D6" t="s">
        <v>66</v>
      </c>
      <c r="F6" t="s">
        <v>71</v>
      </c>
    </row>
    <row r="7" spans="1:7" ht="15">
      <c r="A7">
        <v>0.5</v>
      </c>
      <c r="B7" t="s">
        <v>66</v>
      </c>
      <c r="C7">
        <v>1.8</v>
      </c>
      <c r="D7" t="s">
        <v>69</v>
      </c>
      <c r="F7">
        <f>C6*C7</f>
        <v>6.210000000000001</v>
      </c>
      <c r="G7" t="s">
        <v>67</v>
      </c>
    </row>
    <row r="8" spans="1:2" ht="15">
      <c r="A8">
        <v>0.3</v>
      </c>
      <c r="B8" t="s">
        <v>66</v>
      </c>
    </row>
    <row r="9" spans="1:2" ht="15">
      <c r="A9">
        <v>1.25</v>
      </c>
      <c r="B9" t="s">
        <v>66</v>
      </c>
    </row>
    <row r="10" spans="1:2" ht="15">
      <c r="A10">
        <v>1.25</v>
      </c>
      <c r="B10" t="s">
        <v>66</v>
      </c>
    </row>
    <row r="12" ht="15">
      <c r="A12" t="s">
        <v>70</v>
      </c>
    </row>
    <row r="13" spans="1:6" ht="15">
      <c r="A13">
        <v>0.3</v>
      </c>
      <c r="B13" t="s">
        <v>66</v>
      </c>
      <c r="C13">
        <f>SUM(A13:A19)</f>
        <v>3.75</v>
      </c>
      <c r="D13" t="s">
        <v>66</v>
      </c>
      <c r="F13" t="s">
        <v>71</v>
      </c>
    </row>
    <row r="14" spans="1:7" ht="15">
      <c r="A14">
        <v>0.45</v>
      </c>
      <c r="B14" t="s">
        <v>66</v>
      </c>
      <c r="C14">
        <v>1.8</v>
      </c>
      <c r="D14" t="s">
        <v>69</v>
      </c>
      <c r="F14">
        <f>C13*C14</f>
        <v>6.75</v>
      </c>
      <c r="G14" t="s">
        <v>67</v>
      </c>
    </row>
    <row r="15" spans="1:2" ht="15">
      <c r="A15">
        <v>0.1</v>
      </c>
      <c r="B15" t="s">
        <v>66</v>
      </c>
    </row>
    <row r="16" spans="1:2" ht="15">
      <c r="A16">
        <v>0.3</v>
      </c>
      <c r="B16" t="s">
        <v>66</v>
      </c>
    </row>
    <row r="17" spans="1:2" ht="15">
      <c r="A17">
        <v>0.1</v>
      </c>
      <c r="B17" t="s">
        <v>66</v>
      </c>
    </row>
    <row r="18" spans="1:2" ht="15">
      <c r="A18">
        <v>1.25</v>
      </c>
      <c r="B18" t="s">
        <v>66</v>
      </c>
    </row>
    <row r="19" spans="1:2" ht="15">
      <c r="A19">
        <v>1.25</v>
      </c>
      <c r="B19" t="s">
        <v>66</v>
      </c>
    </row>
    <row r="21" spans="1:7" ht="15">
      <c r="A21" t="s">
        <v>74</v>
      </c>
      <c r="E21" s="17" t="s">
        <v>71</v>
      </c>
      <c r="F21" s="17">
        <f>G23+G28+G31</f>
        <v>11.34</v>
      </c>
      <c r="G21" s="17" t="s">
        <v>67</v>
      </c>
    </row>
    <row r="22" ht="15">
      <c r="A22" t="s">
        <v>68</v>
      </c>
    </row>
    <row r="23" spans="1:8" ht="15">
      <c r="A23">
        <v>1.2</v>
      </c>
      <c r="B23" t="s">
        <v>66</v>
      </c>
      <c r="C23">
        <f>A23+A24</f>
        <v>2.75</v>
      </c>
      <c r="D23" t="s">
        <v>66</v>
      </c>
      <c r="F23" t="s">
        <v>71</v>
      </c>
      <c r="G23">
        <f>C23*C24</f>
        <v>4.95</v>
      </c>
      <c r="H23" t="s">
        <v>67</v>
      </c>
    </row>
    <row r="24" spans="1:4" ht="15">
      <c r="A24">
        <v>1.55</v>
      </c>
      <c r="B24" t="s">
        <v>66</v>
      </c>
      <c r="C24">
        <v>1.8</v>
      </c>
      <c r="D24" t="s">
        <v>69</v>
      </c>
    </row>
    <row r="27" ht="15">
      <c r="A27" t="s">
        <v>70</v>
      </c>
    </row>
    <row r="28" spans="1:8" ht="15">
      <c r="A28">
        <v>1.2</v>
      </c>
      <c r="B28" t="s">
        <v>66</v>
      </c>
      <c r="C28">
        <f>A28+A29</f>
        <v>2.75</v>
      </c>
      <c r="D28" t="s">
        <v>66</v>
      </c>
      <c r="F28" t="s">
        <v>71</v>
      </c>
      <c r="G28">
        <f>C28*C29</f>
        <v>4.95</v>
      </c>
      <c r="H28" t="s">
        <v>67</v>
      </c>
    </row>
    <row r="29" spans="1:4" ht="15">
      <c r="A29">
        <v>1.55</v>
      </c>
      <c r="B29" t="s">
        <v>66</v>
      </c>
      <c r="C29">
        <v>1.8</v>
      </c>
      <c r="D29" t="s">
        <v>69</v>
      </c>
    </row>
    <row r="31" spans="1:8" ht="15">
      <c r="A31">
        <v>0.4</v>
      </c>
      <c r="B31" t="s">
        <v>66</v>
      </c>
      <c r="C31">
        <v>1.2</v>
      </c>
      <c r="D31" t="s">
        <v>66</v>
      </c>
      <c r="E31">
        <v>3</v>
      </c>
      <c r="F31" t="s">
        <v>75</v>
      </c>
      <c r="G31">
        <f>E31*C31*A31</f>
        <v>1.44</v>
      </c>
      <c r="H31" t="s">
        <v>67</v>
      </c>
    </row>
    <row r="34" spans="1:9" ht="15">
      <c r="A34" t="s">
        <v>80</v>
      </c>
      <c r="G34" s="17" t="s">
        <v>71</v>
      </c>
      <c r="H34" s="17">
        <f>G36+G42</f>
        <v>19.8</v>
      </c>
      <c r="I34" s="17" t="s">
        <v>67</v>
      </c>
    </row>
    <row r="35" ht="15">
      <c r="A35" t="s">
        <v>68</v>
      </c>
    </row>
    <row r="36" spans="1:8" ht="15">
      <c r="A36">
        <v>1.3</v>
      </c>
      <c r="B36" t="s">
        <v>66</v>
      </c>
      <c r="C36">
        <f>A36+A37+A38</f>
        <v>3.8</v>
      </c>
      <c r="D36" t="s">
        <v>66</v>
      </c>
      <c r="F36" t="s">
        <v>71</v>
      </c>
      <c r="G36">
        <f>C36*C37*C38</f>
        <v>13.68</v>
      </c>
      <c r="H36" t="s">
        <v>67</v>
      </c>
    </row>
    <row r="37" spans="1:4" ht="15">
      <c r="A37">
        <v>1.25</v>
      </c>
      <c r="B37" t="s">
        <v>66</v>
      </c>
      <c r="C37">
        <v>1.8</v>
      </c>
      <c r="D37" t="s">
        <v>69</v>
      </c>
    </row>
    <row r="38" spans="1:4" ht="15">
      <c r="A38">
        <v>1.25</v>
      </c>
      <c r="B38" t="s">
        <v>66</v>
      </c>
      <c r="C38">
        <v>2</v>
      </c>
      <c r="D38" t="s">
        <v>81</v>
      </c>
    </row>
    <row r="41" ht="15">
      <c r="A41" t="s">
        <v>70</v>
      </c>
    </row>
    <row r="42" spans="1:8" ht="15">
      <c r="A42">
        <f>2.1-1.2</f>
        <v>0.9000000000000001</v>
      </c>
      <c r="B42" t="s">
        <v>66</v>
      </c>
      <c r="C42">
        <f>A42+A43+A44</f>
        <v>3.4000000000000004</v>
      </c>
      <c r="D42" t="s">
        <v>66</v>
      </c>
      <c r="F42" t="s">
        <v>71</v>
      </c>
      <c r="G42">
        <f>C42*C43</f>
        <v>6.120000000000001</v>
      </c>
      <c r="H42" t="s">
        <v>67</v>
      </c>
    </row>
    <row r="43" spans="1:4" ht="15">
      <c r="A43">
        <v>1.25</v>
      </c>
      <c r="B43" t="s">
        <v>66</v>
      </c>
      <c r="C43">
        <v>1.8</v>
      </c>
      <c r="D43" t="s">
        <v>69</v>
      </c>
    </row>
    <row r="44" spans="1:2" ht="15">
      <c r="A44">
        <v>1.25</v>
      </c>
      <c r="B44" t="s">
        <v>66</v>
      </c>
    </row>
    <row r="47" ht="15">
      <c r="A47" t="s">
        <v>64</v>
      </c>
    </row>
    <row r="49" spans="1:6" ht="15">
      <c r="A49" t="s">
        <v>108</v>
      </c>
      <c r="D49" s="17" t="s">
        <v>71</v>
      </c>
      <c r="E49" s="17">
        <v>74</v>
      </c>
      <c r="F49" s="17" t="s">
        <v>67</v>
      </c>
    </row>
    <row r="50" ht="15">
      <c r="A50" t="s">
        <v>68</v>
      </c>
    </row>
    <row r="51" spans="1:7" ht="15">
      <c r="A51">
        <v>17.46</v>
      </c>
      <c r="B51" t="s">
        <v>66</v>
      </c>
      <c r="C51">
        <v>2.1</v>
      </c>
      <c r="D51" t="s">
        <v>66</v>
      </c>
      <c r="E51" t="s">
        <v>71</v>
      </c>
      <c r="F51">
        <f>C51*A51</f>
        <v>36.666000000000004</v>
      </c>
      <c r="G51" t="s">
        <v>67</v>
      </c>
    </row>
    <row r="53" ht="15">
      <c r="A53" t="s">
        <v>70</v>
      </c>
    </row>
    <row r="54" spans="1:7" ht="15">
      <c r="A54">
        <v>17.46</v>
      </c>
      <c r="B54" t="s">
        <v>66</v>
      </c>
      <c r="C54">
        <v>2.1</v>
      </c>
      <c r="D54" t="s">
        <v>66</v>
      </c>
      <c r="E54" t="s">
        <v>71</v>
      </c>
      <c r="F54">
        <f>C54*A54</f>
        <v>36.666000000000004</v>
      </c>
      <c r="G54" t="s">
        <v>67</v>
      </c>
    </row>
    <row r="56" ht="15">
      <c r="A56" t="s">
        <v>109</v>
      </c>
    </row>
    <row r="57" spans="1:2" ht="15">
      <c r="A57" s="17">
        <f>15.15*2</f>
        <v>30.3</v>
      </c>
      <c r="B57" s="17" t="s">
        <v>76</v>
      </c>
    </row>
    <row r="62" spans="1:4" ht="15">
      <c r="A62" t="s">
        <v>86</v>
      </c>
      <c r="C62" s="17" t="s">
        <v>89</v>
      </c>
      <c r="D62" s="17">
        <f>B63+B64</f>
        <v>12</v>
      </c>
    </row>
    <row r="63" spans="1:3" ht="15">
      <c r="A63" t="s">
        <v>68</v>
      </c>
      <c r="B63">
        <v>6</v>
      </c>
      <c r="C63" t="s">
        <v>87</v>
      </c>
    </row>
    <row r="64" spans="1:3" ht="15">
      <c r="A64" t="s">
        <v>70</v>
      </c>
      <c r="B64">
        <v>6</v>
      </c>
      <c r="C64" t="s">
        <v>87</v>
      </c>
    </row>
    <row r="66" spans="1:4" ht="15">
      <c r="A66" t="s">
        <v>88</v>
      </c>
      <c r="C66" s="17" t="s">
        <v>89</v>
      </c>
      <c r="D66" s="17">
        <f>B67+B68</f>
        <v>11</v>
      </c>
    </row>
    <row r="67" spans="1:3" ht="15">
      <c r="A67" t="s">
        <v>68</v>
      </c>
      <c r="B67">
        <v>6</v>
      </c>
      <c r="C67" t="s">
        <v>87</v>
      </c>
    </row>
    <row r="68" spans="1:3" ht="15">
      <c r="A68" t="s">
        <v>70</v>
      </c>
      <c r="B68">
        <v>5</v>
      </c>
      <c r="C68" t="s">
        <v>87</v>
      </c>
    </row>
    <row r="70" spans="1:5" ht="15">
      <c r="A70" t="s">
        <v>92</v>
      </c>
      <c r="D70" s="17">
        <f>B71+B72</f>
        <v>18</v>
      </c>
      <c r="E70" s="17" t="s">
        <v>90</v>
      </c>
    </row>
    <row r="71" spans="1:3" ht="15">
      <c r="A71" s="19" t="s">
        <v>93</v>
      </c>
      <c r="B71" s="19">
        <v>10</v>
      </c>
      <c r="C71" s="20" t="s">
        <v>90</v>
      </c>
    </row>
    <row r="72" spans="1:3" ht="15">
      <c r="A72" s="20" t="s">
        <v>94</v>
      </c>
      <c r="B72" s="20">
        <v>8</v>
      </c>
      <c r="C72" s="20" t="s">
        <v>90</v>
      </c>
    </row>
    <row r="74" spans="1:6" ht="15">
      <c r="A74" t="s">
        <v>97</v>
      </c>
      <c r="D74" s="17" t="s">
        <v>89</v>
      </c>
      <c r="E74" s="17">
        <f>D75+D76</f>
        <v>3.5999999999999996</v>
      </c>
      <c r="F74" s="17" t="s">
        <v>76</v>
      </c>
    </row>
    <row r="75" spans="1:5" ht="15">
      <c r="A75">
        <v>3</v>
      </c>
      <c r="B75">
        <v>0.6</v>
      </c>
      <c r="D75">
        <f>A75*B75</f>
        <v>1.7999999999999998</v>
      </c>
      <c r="E75" t="s">
        <v>76</v>
      </c>
    </row>
    <row r="76" spans="1:5" ht="15">
      <c r="A76">
        <v>3</v>
      </c>
      <c r="B76">
        <v>0.6</v>
      </c>
      <c r="D76">
        <f>A76*B76</f>
        <v>1.7999999999999998</v>
      </c>
      <c r="E76" t="s">
        <v>76</v>
      </c>
    </row>
    <row r="79" spans="1:16" ht="15">
      <c r="A79" s="188" t="s">
        <v>196</v>
      </c>
      <c r="B79" s="189" t="s">
        <v>197</v>
      </c>
      <c r="C79" s="190"/>
      <c r="D79" s="190"/>
      <c r="E79" s="190"/>
      <c r="F79" s="190"/>
      <c r="G79" s="190"/>
      <c r="H79" s="190"/>
      <c r="I79" s="190">
        <v>1</v>
      </c>
      <c r="J79" s="188" t="s">
        <v>206</v>
      </c>
      <c r="K79" s="190"/>
      <c r="L79" s="190"/>
      <c r="M79" s="190"/>
      <c r="N79" s="188"/>
      <c r="O79" s="190"/>
      <c r="P79" s="191"/>
    </row>
    <row r="80" spans="1:16" ht="15">
      <c r="A80" s="192" t="s">
        <v>5</v>
      </c>
      <c r="B80" s="193" t="s">
        <v>169</v>
      </c>
      <c r="C80" s="191"/>
      <c r="D80" s="191"/>
      <c r="E80" s="191"/>
      <c r="F80" s="191"/>
      <c r="G80" s="191"/>
      <c r="H80" s="191"/>
      <c r="I80" s="191">
        <v>5</v>
      </c>
      <c r="J80" s="192" t="s">
        <v>199</v>
      </c>
      <c r="K80" s="192"/>
      <c r="L80" s="191"/>
      <c r="M80" s="191"/>
      <c r="N80" s="191"/>
      <c r="O80" s="192"/>
      <c r="P80" s="192"/>
    </row>
    <row r="81" spans="1:16" ht="15">
      <c r="A81" s="192" t="s">
        <v>170</v>
      </c>
      <c r="B81" s="191" t="s">
        <v>172</v>
      </c>
      <c r="C81" s="191"/>
      <c r="D81" s="191"/>
      <c r="E81" s="191"/>
      <c r="F81" s="191"/>
      <c r="G81" s="191"/>
      <c r="H81" s="191"/>
      <c r="I81" s="191"/>
      <c r="J81" s="192"/>
      <c r="K81" s="192"/>
      <c r="L81" s="191"/>
      <c r="M81" s="191"/>
      <c r="N81" s="191"/>
      <c r="O81" s="192"/>
      <c r="P81" s="192"/>
    </row>
    <row r="82" spans="1:16" ht="15">
      <c r="A82" s="191"/>
      <c r="B82" s="191"/>
      <c r="C82" s="191"/>
      <c r="D82" s="191"/>
      <c r="E82" s="191"/>
      <c r="F82" s="191"/>
      <c r="G82" s="191"/>
      <c r="H82" s="191"/>
      <c r="I82" s="191"/>
      <c r="J82" s="192"/>
      <c r="K82" s="192"/>
      <c r="L82" s="191"/>
      <c r="M82" s="191"/>
      <c r="N82" s="191"/>
      <c r="O82" s="192"/>
      <c r="P82" s="192"/>
    </row>
    <row r="83" spans="1:16" ht="15">
      <c r="A83" s="191"/>
      <c r="B83" s="191">
        <v>1</v>
      </c>
      <c r="C83" s="192" t="s">
        <v>198</v>
      </c>
      <c r="D83" s="191"/>
      <c r="E83" s="191"/>
      <c r="F83" s="191"/>
      <c r="G83" s="192"/>
      <c r="H83" s="191"/>
      <c r="I83" s="191"/>
      <c r="J83" s="191"/>
      <c r="K83" s="191"/>
      <c r="L83" s="191"/>
      <c r="M83" s="191"/>
      <c r="N83" s="191"/>
      <c r="O83" s="191"/>
      <c r="P83" s="191"/>
    </row>
    <row r="84" spans="1:16" ht="15">
      <c r="A84" s="191"/>
      <c r="B84" s="191">
        <v>1</v>
      </c>
      <c r="C84" s="192" t="s">
        <v>9</v>
      </c>
      <c r="D84" s="192" t="s">
        <v>200</v>
      </c>
      <c r="E84" s="191"/>
      <c r="F84" s="191"/>
      <c r="G84" s="194">
        <f>B83*B84*B85*B86</f>
        <v>0.1</v>
      </c>
      <c r="H84" s="195" t="s">
        <v>173</v>
      </c>
      <c r="I84" s="191"/>
      <c r="J84" s="191"/>
      <c r="K84" s="191"/>
      <c r="L84" s="191"/>
      <c r="M84" s="191"/>
      <c r="N84" s="191"/>
      <c r="O84" s="191"/>
      <c r="P84" s="191"/>
    </row>
    <row r="85" spans="1:16" ht="15">
      <c r="A85" s="191"/>
      <c r="B85" s="191">
        <v>1</v>
      </c>
      <c r="C85" s="192" t="s">
        <v>9</v>
      </c>
      <c r="D85" s="192" t="s">
        <v>201</v>
      </c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</row>
    <row r="86" spans="1:16" ht="15">
      <c r="A86" s="191"/>
      <c r="B86" s="192">
        <v>0.1</v>
      </c>
      <c r="C86" s="192" t="s">
        <v>9</v>
      </c>
      <c r="D86" s="192" t="s">
        <v>202</v>
      </c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</row>
    <row r="87" spans="1:16" ht="15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</row>
    <row r="88" spans="1:16" ht="15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</row>
    <row r="89" spans="1:16" ht="15">
      <c r="A89" s="192" t="s">
        <v>174</v>
      </c>
      <c r="B89" s="192" t="s">
        <v>176</v>
      </c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1"/>
      <c r="P89" s="191"/>
    </row>
    <row r="90" spans="1:16" ht="15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</row>
    <row r="91" spans="1:16" ht="15">
      <c r="A91" s="191"/>
      <c r="B91" s="191">
        <v>1</v>
      </c>
      <c r="C91" s="192" t="s">
        <v>9</v>
      </c>
      <c r="D91" s="192" t="s">
        <v>200</v>
      </c>
      <c r="E91" s="191"/>
      <c r="F91" s="194">
        <f>I79*B91*B92*B93</f>
        <v>1.8</v>
      </c>
      <c r="G91" s="195" t="s">
        <v>203</v>
      </c>
      <c r="H91" s="191"/>
      <c r="I91" s="191"/>
      <c r="J91" s="191"/>
      <c r="K91" s="191"/>
      <c r="L91" s="191"/>
      <c r="M91" s="191"/>
      <c r="N91" s="191"/>
      <c r="O91" s="191"/>
      <c r="P91" s="191"/>
    </row>
    <row r="92" spans="1:16" ht="15">
      <c r="A92" s="191"/>
      <c r="B92" s="191">
        <v>1</v>
      </c>
      <c r="C92" s="192" t="s">
        <v>9</v>
      </c>
      <c r="D92" s="192" t="s">
        <v>201</v>
      </c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</row>
    <row r="93" spans="1:16" ht="15">
      <c r="A93" s="191"/>
      <c r="B93" s="191">
        <v>1.8</v>
      </c>
      <c r="C93" s="192" t="s">
        <v>9</v>
      </c>
      <c r="D93" s="192" t="s">
        <v>204</v>
      </c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</row>
    <row r="94" spans="1:16" ht="15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</row>
    <row r="95" spans="1:16" ht="15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</row>
    <row r="96" spans="1:16" ht="15">
      <c r="A96" s="192" t="s">
        <v>8</v>
      </c>
      <c r="B96" s="193" t="s">
        <v>177</v>
      </c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</row>
    <row r="97" spans="1:16" ht="15">
      <c r="A97" s="192" t="s">
        <v>178</v>
      </c>
      <c r="B97" s="196" t="s">
        <v>180</v>
      </c>
      <c r="C97" s="191"/>
      <c r="D97" s="191"/>
      <c r="E97" s="191"/>
      <c r="F97" s="191"/>
      <c r="G97" s="191"/>
      <c r="H97" s="191"/>
      <c r="I97" s="191">
        <v>1</v>
      </c>
      <c r="J97" s="192" t="s">
        <v>198</v>
      </c>
      <c r="K97" s="191"/>
      <c r="L97" s="191"/>
      <c r="M97" s="192"/>
      <c r="N97" s="191"/>
      <c r="O97" s="191"/>
      <c r="P97" s="191"/>
    </row>
    <row r="98" spans="1:16" ht="15">
      <c r="A98" s="192" t="s">
        <v>181</v>
      </c>
      <c r="B98" s="196" t="s">
        <v>183</v>
      </c>
      <c r="C98" s="191"/>
      <c r="D98" s="191"/>
      <c r="E98" s="191"/>
      <c r="F98" s="191"/>
      <c r="G98" s="191"/>
      <c r="H98" s="191"/>
      <c r="I98" s="191">
        <v>5</v>
      </c>
      <c r="J98" s="192" t="s">
        <v>199</v>
      </c>
      <c r="K98" s="191"/>
      <c r="L98" s="191"/>
      <c r="M98" s="191"/>
      <c r="N98" s="191"/>
      <c r="O98" s="191"/>
      <c r="P98" s="191"/>
    </row>
    <row r="99" spans="1:16" ht="15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</row>
    <row r="100" spans="1:16" ht="15">
      <c r="A100" s="191"/>
      <c r="B100" s="197">
        <f>I79*I80</f>
        <v>5</v>
      </c>
      <c r="C100" s="197" t="s">
        <v>9</v>
      </c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</row>
    <row r="101" spans="1:16" ht="15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</row>
    <row r="102" spans="1:16" ht="15">
      <c r="A102" s="191"/>
      <c r="B102" s="198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</row>
    <row r="103" spans="1:16" ht="15">
      <c r="A103" s="192" t="s">
        <v>10</v>
      </c>
      <c r="B103" s="193" t="s">
        <v>184</v>
      </c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</row>
    <row r="104" spans="1:16" ht="15">
      <c r="A104" s="192" t="s">
        <v>185</v>
      </c>
      <c r="B104" s="192" t="s">
        <v>187</v>
      </c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  <c r="N104" s="191"/>
      <c r="O104" s="191"/>
      <c r="P104" s="191"/>
    </row>
    <row r="105" spans="1:16" ht="1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</row>
    <row r="106" spans="1:16" ht="15">
      <c r="A106" s="191"/>
      <c r="B106" s="191"/>
      <c r="C106" s="191"/>
      <c r="D106" s="194">
        <f>F91</f>
        <v>1.8</v>
      </c>
      <c r="E106" s="195" t="s">
        <v>203</v>
      </c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  <c r="P106" s="191"/>
    </row>
    <row r="107" spans="1:16" ht="15">
      <c r="A107" s="191"/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</row>
    <row r="108" spans="1:16" ht="15">
      <c r="A108" s="191"/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  <c r="P108" s="191"/>
    </row>
    <row r="109" spans="1:16" ht="15">
      <c r="A109" s="192" t="s">
        <v>188</v>
      </c>
      <c r="B109" s="192" t="s">
        <v>154</v>
      </c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  <c r="P109" s="191"/>
    </row>
    <row r="110" spans="1:16" ht="15">
      <c r="A110" s="191"/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</row>
    <row r="111" spans="1:16" ht="15">
      <c r="A111" s="191"/>
      <c r="B111" s="191">
        <v>1</v>
      </c>
      <c r="C111" s="192" t="s">
        <v>9</v>
      </c>
      <c r="D111" s="192" t="s">
        <v>200</v>
      </c>
      <c r="E111" s="191"/>
      <c r="F111" s="194">
        <f>B111*B112*B113</f>
        <v>1</v>
      </c>
      <c r="G111" s="195" t="s">
        <v>76</v>
      </c>
      <c r="H111" s="191"/>
      <c r="I111" s="191"/>
      <c r="J111" s="191"/>
      <c r="K111" s="191"/>
      <c r="L111" s="191"/>
      <c r="M111" s="191"/>
      <c r="N111" s="191"/>
      <c r="O111" s="191"/>
      <c r="P111" s="191"/>
    </row>
    <row r="112" spans="1:16" ht="15">
      <c r="A112" s="191"/>
      <c r="B112" s="191">
        <v>1</v>
      </c>
      <c r="C112" s="192" t="s">
        <v>9</v>
      </c>
      <c r="D112" s="192" t="s">
        <v>201</v>
      </c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  <c r="P112" s="191"/>
    </row>
    <row r="113" spans="1:16" ht="15">
      <c r="A113" s="191"/>
      <c r="B113" s="191">
        <v>1</v>
      </c>
      <c r="C113" s="192" t="s">
        <v>198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</row>
    <row r="114" spans="1:16" ht="15">
      <c r="A114" s="191"/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</row>
    <row r="115" spans="1:16" ht="15">
      <c r="A115" s="191"/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</row>
    <row r="116" spans="1:16" ht="15">
      <c r="A116" s="192" t="s">
        <v>190</v>
      </c>
      <c r="B116" s="192" t="s">
        <v>192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</row>
    <row r="117" spans="1:16" ht="15">
      <c r="A117" s="191"/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</row>
    <row r="118" spans="1:16" ht="15">
      <c r="A118" s="191"/>
      <c r="B118" s="191">
        <v>1</v>
      </c>
      <c r="C118" s="192" t="s">
        <v>9</v>
      </c>
      <c r="D118" s="192" t="s">
        <v>200</v>
      </c>
      <c r="E118" s="191"/>
      <c r="F118" s="194">
        <f>4*B120*B121</f>
        <v>0.24</v>
      </c>
      <c r="G118" s="195" t="s">
        <v>76</v>
      </c>
      <c r="H118" s="191"/>
      <c r="I118" s="191"/>
      <c r="J118" s="191"/>
      <c r="K118" s="191"/>
      <c r="L118" s="191"/>
      <c r="M118" s="191"/>
      <c r="N118" s="191"/>
      <c r="O118" s="191"/>
      <c r="P118" s="191"/>
    </row>
    <row r="119" spans="1:16" ht="15">
      <c r="A119" s="191"/>
      <c r="B119" s="191">
        <v>1</v>
      </c>
      <c r="C119" s="192" t="s">
        <v>9</v>
      </c>
      <c r="D119" s="192" t="s">
        <v>201</v>
      </c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</row>
    <row r="120" spans="1:16" ht="15">
      <c r="A120" s="191"/>
      <c r="B120" s="191">
        <v>1</v>
      </c>
      <c r="C120" s="192" t="s">
        <v>198</v>
      </c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</row>
    <row r="121" spans="1:16" ht="15">
      <c r="A121" s="191"/>
      <c r="B121" s="191">
        <v>0.06</v>
      </c>
      <c r="C121" s="192" t="s">
        <v>205</v>
      </c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Daiane Tacher</dc:creator>
  <cp:keywords/>
  <dc:description/>
  <cp:lastModifiedBy>Prefeitura-Tietê</cp:lastModifiedBy>
  <cp:lastPrinted>2022-05-30T17:30:45Z</cp:lastPrinted>
  <dcterms:created xsi:type="dcterms:W3CDTF">2020-07-27T23:01:29Z</dcterms:created>
  <dcterms:modified xsi:type="dcterms:W3CDTF">2022-06-21T16:11:59Z</dcterms:modified>
  <cp:category/>
  <cp:version/>
  <cp:contentType/>
  <cp:contentStatus/>
</cp:coreProperties>
</file>